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gkkcanemu\Laskurit_04112024\"/>
    </mc:Choice>
  </mc:AlternateContent>
  <xr:revisionPtr revIDLastSave="0" documentId="13_ncr:1_{CF27684B-4F0E-485A-AD61-26BD09CEDE74}" xr6:coauthVersionLast="47" xr6:coauthVersionMax="47" xr10:uidLastSave="{00000000-0000-0000-0000-000000000000}"/>
  <bookViews>
    <workbookView xWindow="-19310" yWindow="-110" windowWidth="19420" windowHeight="10300" xr2:uid="{42FFF90D-598F-48A7-AB87-95242D4C423C}"/>
  </bookViews>
  <sheets>
    <sheet name="Kansilehti" sheetId="6" r:id="rId1"/>
    <sheet name="Kohteen järjes. kannattavuus" sheetId="3" r:id="rId2"/>
    <sheet name="IVLP 20v kannattavuus" sheetId="9" r:id="rId3"/>
    <sheet name="MLP 25v kannattavuus" sheetId="8" r:id="rId4"/>
    <sheet name="PV 30v kannattavuus 3" sheetId="11" r:id="rId5"/>
    <sheet name="PV 30v kannattavuus 5" sheetId="12"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12" l="1"/>
  <c r="F16" i="11"/>
  <c r="D19" i="8"/>
  <c r="D19" i="9"/>
  <c r="I27" i="3" l="1"/>
  <c r="B27" i="3"/>
  <c r="F11" i="12" l="1"/>
  <c r="F10" i="12"/>
  <c r="D28" i="9"/>
  <c r="D28" i="8"/>
  <c r="D70" i="9"/>
  <c r="D11" i="8"/>
  <c r="D9" i="8"/>
  <c r="D11" i="9"/>
  <c r="H38" i="8" l="1"/>
  <c r="F38" i="8"/>
  <c r="F38" i="9"/>
  <c r="H38" i="9"/>
  <c r="G38" i="9"/>
  <c r="I38" i="9" l="1"/>
  <c r="H44" i="12" l="1"/>
  <c r="G38" i="8"/>
  <c r="E38" i="9"/>
  <c r="E39" i="9" s="1"/>
  <c r="E38" i="8"/>
  <c r="E44" i="11"/>
  <c r="E44" i="12"/>
  <c r="G39" i="9" l="1"/>
  <c r="F39" i="9"/>
  <c r="H39" i="9" s="1"/>
  <c r="H44" i="11"/>
  <c r="E45" i="11" s="1"/>
  <c r="G45" i="11" s="1"/>
  <c r="D75" i="8"/>
  <c r="I38" i="8" s="1"/>
  <c r="I44" i="11" l="1"/>
  <c r="F24" i="12" l="1"/>
  <c r="D13" i="8" l="1"/>
  <c r="D26" i="8" s="1"/>
  <c r="D13" i="9"/>
  <c r="D26" i="9" s="1"/>
  <c r="J18" i="3" l="1"/>
  <c r="F12" i="11"/>
  <c r="J22" i="3" l="1"/>
  <c r="J58" i="12"/>
  <c r="J59" i="12"/>
  <c r="J58" i="11"/>
  <c r="J59" i="11"/>
  <c r="B18" i="3" l="1"/>
  <c r="F28" i="12" l="1"/>
  <c r="B114" i="12"/>
  <c r="F113" i="12"/>
  <c r="F112" i="12"/>
  <c r="F111" i="12"/>
  <c r="F110" i="12"/>
  <c r="F109" i="12"/>
  <c r="F108" i="12"/>
  <c r="F107" i="12"/>
  <c r="F106" i="12"/>
  <c r="F105" i="12"/>
  <c r="F104" i="12"/>
  <c r="F103" i="12"/>
  <c r="F102" i="12"/>
  <c r="D98" i="12"/>
  <c r="G109" i="12" s="1"/>
  <c r="J74" i="12"/>
  <c r="K74" i="12" s="1"/>
  <c r="J73" i="12"/>
  <c r="K73" i="12" s="1"/>
  <c r="J72" i="12"/>
  <c r="K72" i="12" s="1"/>
  <c r="J71" i="12"/>
  <c r="K71" i="12" s="1"/>
  <c r="J70" i="12"/>
  <c r="K70" i="12" s="1"/>
  <c r="J69" i="12"/>
  <c r="K69" i="12" s="1"/>
  <c r="J68" i="12"/>
  <c r="K68" i="12" s="1"/>
  <c r="J67" i="12"/>
  <c r="K67" i="12" s="1"/>
  <c r="J66" i="12"/>
  <c r="K66" i="12" s="1"/>
  <c r="J65" i="12"/>
  <c r="K65" i="12" s="1"/>
  <c r="J64" i="12"/>
  <c r="J63" i="12"/>
  <c r="J62" i="12"/>
  <c r="J61" i="12"/>
  <c r="J60" i="12"/>
  <c r="J57" i="12"/>
  <c r="J56" i="12"/>
  <c r="J55" i="12"/>
  <c r="J54" i="12"/>
  <c r="J53" i="12"/>
  <c r="J52" i="12"/>
  <c r="J51" i="12"/>
  <c r="J50" i="12"/>
  <c r="J49" i="12"/>
  <c r="J48" i="12"/>
  <c r="J47" i="12"/>
  <c r="J46" i="12"/>
  <c r="L45" i="12"/>
  <c r="L46" i="12" s="1"/>
  <c r="L47" i="12" s="1"/>
  <c r="L48" i="12" s="1"/>
  <c r="L49" i="12" s="1"/>
  <c r="L50" i="12" s="1"/>
  <c r="L51" i="12" s="1"/>
  <c r="L52" i="12" s="1"/>
  <c r="L53" i="12" s="1"/>
  <c r="L54" i="12" s="1"/>
  <c r="L55" i="12" s="1"/>
  <c r="L56" i="12" s="1"/>
  <c r="L57" i="12" s="1"/>
  <c r="L58" i="12" s="1"/>
  <c r="L59" i="12" s="1"/>
  <c r="L60" i="12" s="1"/>
  <c r="L61" i="12" s="1"/>
  <c r="L62" i="12" s="1"/>
  <c r="L63" i="12" s="1"/>
  <c r="L64" i="12" s="1"/>
  <c r="L65" i="12" s="1"/>
  <c r="L66" i="12" s="1"/>
  <c r="L67" i="12" s="1"/>
  <c r="L68" i="12" s="1"/>
  <c r="L69" i="12" s="1"/>
  <c r="L70" i="12" s="1"/>
  <c r="L71" i="12" s="1"/>
  <c r="L72" i="12" s="1"/>
  <c r="L73" i="12" s="1"/>
  <c r="L74" i="12" s="1"/>
  <c r="J45" i="12"/>
  <c r="R44" i="12"/>
  <c r="F35" i="12"/>
  <c r="F31" i="12"/>
  <c r="F21" i="12"/>
  <c r="D91" i="12" s="1"/>
  <c r="H27" i="3" s="1"/>
  <c r="F19" i="12"/>
  <c r="F14" i="12"/>
  <c r="E111" i="12" s="1"/>
  <c r="I26" i="3"/>
  <c r="B26" i="3"/>
  <c r="F44" i="12" l="1"/>
  <c r="J27" i="3"/>
  <c r="G108" i="12"/>
  <c r="G105" i="12"/>
  <c r="I44" i="12"/>
  <c r="E45" i="12"/>
  <c r="G45" i="12" s="1"/>
  <c r="B45" i="12"/>
  <c r="M45" i="12" s="1"/>
  <c r="D90" i="12"/>
  <c r="G104" i="12"/>
  <c r="G113" i="12"/>
  <c r="G110" i="12"/>
  <c r="G102" i="12"/>
  <c r="G111" i="12"/>
  <c r="K111" i="12" s="1"/>
  <c r="G107" i="12"/>
  <c r="G103" i="12"/>
  <c r="G112" i="12"/>
  <c r="E105" i="12"/>
  <c r="K105" i="12" s="1"/>
  <c r="C45" i="12"/>
  <c r="C46" i="12" s="1"/>
  <c r="C47" i="12" s="1"/>
  <c r="C48" i="12" s="1"/>
  <c r="C49" i="12" s="1"/>
  <c r="C50" i="12" s="1"/>
  <c r="C51" i="12" s="1"/>
  <c r="C52" i="12" s="1"/>
  <c r="C53" i="12" s="1"/>
  <c r="C54" i="12" s="1"/>
  <c r="C55" i="12" s="1"/>
  <c r="C56" i="12" s="1"/>
  <c r="C57" i="12" s="1"/>
  <c r="C58" i="12" s="1"/>
  <c r="C59" i="12" s="1"/>
  <c r="C60" i="12" s="1"/>
  <c r="C61" i="12" s="1"/>
  <c r="C62" i="12" s="1"/>
  <c r="C63" i="12" s="1"/>
  <c r="C64" i="12" s="1"/>
  <c r="C65" i="12" s="1"/>
  <c r="C66" i="12" s="1"/>
  <c r="C67" i="12" s="1"/>
  <c r="C68" i="12" s="1"/>
  <c r="C69" i="12" s="1"/>
  <c r="C70" i="12" s="1"/>
  <c r="C71" i="12" s="1"/>
  <c r="C72" i="12" s="1"/>
  <c r="C73" i="12" s="1"/>
  <c r="C74" i="12" s="1"/>
  <c r="E112" i="12"/>
  <c r="E109" i="12"/>
  <c r="K109" i="12" s="1"/>
  <c r="E106" i="12"/>
  <c r="E113" i="12"/>
  <c r="E104" i="12"/>
  <c r="C113" i="12"/>
  <c r="C112" i="12"/>
  <c r="C104" i="12"/>
  <c r="C111" i="12"/>
  <c r="C103" i="12"/>
  <c r="C109" i="12"/>
  <c r="C108" i="12"/>
  <c r="C110" i="12"/>
  <c r="C107" i="12"/>
  <c r="C102" i="12"/>
  <c r="C105" i="12"/>
  <c r="C106" i="12"/>
  <c r="J75" i="12"/>
  <c r="E107" i="12"/>
  <c r="G106" i="12"/>
  <c r="E108" i="12"/>
  <c r="K108" i="12" s="1"/>
  <c r="E102" i="12"/>
  <c r="K102" i="12" s="1"/>
  <c r="E110" i="12"/>
  <c r="K110" i="12" s="1"/>
  <c r="E103" i="12"/>
  <c r="F103" i="11"/>
  <c r="F104" i="11"/>
  <c r="F105" i="11"/>
  <c r="F106" i="11"/>
  <c r="F107" i="11"/>
  <c r="F108" i="11"/>
  <c r="F109" i="11"/>
  <c r="F110" i="11"/>
  <c r="F111" i="11"/>
  <c r="F112" i="11"/>
  <c r="F113" i="11"/>
  <c r="F102" i="11"/>
  <c r="F31" i="11"/>
  <c r="F44" i="11" s="1"/>
  <c r="B114" i="11"/>
  <c r="C113" i="11"/>
  <c r="C112" i="11"/>
  <c r="C111" i="11"/>
  <c r="C110" i="11"/>
  <c r="C109" i="11"/>
  <c r="C108" i="11"/>
  <c r="C107" i="11"/>
  <c r="C106" i="11"/>
  <c r="C105" i="11"/>
  <c r="C104" i="11"/>
  <c r="C103" i="11"/>
  <c r="C102" i="11"/>
  <c r="D98" i="11"/>
  <c r="G113" i="11" s="1"/>
  <c r="J74" i="11"/>
  <c r="K74" i="11" s="1"/>
  <c r="J72" i="11"/>
  <c r="K72" i="11" s="1"/>
  <c r="J66" i="11"/>
  <c r="K66" i="11" s="1"/>
  <c r="L45" i="11"/>
  <c r="L46" i="11" s="1"/>
  <c r="L47" i="11" s="1"/>
  <c r="L48" i="11" s="1"/>
  <c r="L49" i="11" s="1"/>
  <c r="L50" i="11" s="1"/>
  <c r="L51" i="11" s="1"/>
  <c r="L52" i="11" s="1"/>
  <c r="L53" i="11" s="1"/>
  <c r="L54" i="11" s="1"/>
  <c r="L55" i="11" s="1"/>
  <c r="L56" i="11" s="1"/>
  <c r="L57" i="11" s="1"/>
  <c r="L58" i="11" s="1"/>
  <c r="L59" i="11" s="1"/>
  <c r="L60" i="11" s="1"/>
  <c r="L61" i="11" s="1"/>
  <c r="L62" i="11" s="1"/>
  <c r="L63" i="11" s="1"/>
  <c r="L64" i="11" s="1"/>
  <c r="L65" i="11" s="1"/>
  <c r="L66" i="11" s="1"/>
  <c r="L67" i="11" s="1"/>
  <c r="L68" i="11" s="1"/>
  <c r="L69" i="11" s="1"/>
  <c r="L70" i="11" s="1"/>
  <c r="L71" i="11" s="1"/>
  <c r="L72" i="11" s="1"/>
  <c r="L73" i="11" s="1"/>
  <c r="L74" i="11" s="1"/>
  <c r="R44" i="11"/>
  <c r="J70" i="11"/>
  <c r="K70" i="11" s="1"/>
  <c r="F35" i="11"/>
  <c r="F21" i="11"/>
  <c r="F19" i="11"/>
  <c r="F14" i="11"/>
  <c r="E112" i="11" s="1"/>
  <c r="J63" i="8"/>
  <c r="J62" i="8"/>
  <c r="J61" i="8"/>
  <c r="K61" i="8" s="1"/>
  <c r="J60" i="8"/>
  <c r="J59" i="8"/>
  <c r="J58" i="8"/>
  <c r="J57" i="8"/>
  <c r="J56" i="8"/>
  <c r="J55" i="8"/>
  <c r="J54" i="8"/>
  <c r="J53" i="8"/>
  <c r="J52" i="8"/>
  <c r="J51" i="8"/>
  <c r="J50" i="8"/>
  <c r="J49" i="8"/>
  <c r="J48" i="8"/>
  <c r="J47" i="8"/>
  <c r="J46" i="8"/>
  <c r="J45" i="8"/>
  <c r="J44" i="8"/>
  <c r="J43" i="8"/>
  <c r="J42" i="8"/>
  <c r="J41" i="8"/>
  <c r="J40" i="8"/>
  <c r="J39" i="8"/>
  <c r="Q38" i="8"/>
  <c r="O38" i="8"/>
  <c r="E39" i="8"/>
  <c r="G39" i="8" s="1"/>
  <c r="C103" i="8"/>
  <c r="K44" i="12" l="1"/>
  <c r="O44" i="12" s="1"/>
  <c r="K103" i="12"/>
  <c r="F39" i="8"/>
  <c r="H39" i="8" s="1"/>
  <c r="F45" i="12"/>
  <c r="H45" i="12" s="1"/>
  <c r="E46" i="12" s="1"/>
  <c r="G46" i="12" s="1"/>
  <c r="F45" i="11"/>
  <c r="H45" i="11" s="1"/>
  <c r="B46" i="12"/>
  <c r="D46" i="12" s="1"/>
  <c r="J26" i="3"/>
  <c r="K59" i="8"/>
  <c r="K63" i="8"/>
  <c r="J64" i="8"/>
  <c r="K112" i="12"/>
  <c r="D45" i="12"/>
  <c r="N45" i="12" s="1"/>
  <c r="G114" i="12"/>
  <c r="D116" i="12" s="1"/>
  <c r="K107" i="12"/>
  <c r="K104" i="12"/>
  <c r="K113" i="12"/>
  <c r="C106" i="8"/>
  <c r="C105" i="8"/>
  <c r="C104" i="8"/>
  <c r="C101" i="8"/>
  <c r="C109" i="8"/>
  <c r="C100" i="8"/>
  <c r="C102" i="8"/>
  <c r="C98" i="8"/>
  <c r="C108" i="8"/>
  <c r="C99" i="8"/>
  <c r="C107" i="8"/>
  <c r="H111" i="12"/>
  <c r="I111" i="12" s="1"/>
  <c r="L111" i="12" s="1"/>
  <c r="H105" i="12"/>
  <c r="I105" i="12" s="1"/>
  <c r="L105" i="12" s="1"/>
  <c r="H104" i="12"/>
  <c r="I104" i="12" s="1"/>
  <c r="L104" i="12" s="1"/>
  <c r="H106" i="12"/>
  <c r="I106" i="12" s="1"/>
  <c r="L106" i="12" s="1"/>
  <c r="C114" i="12"/>
  <c r="H102" i="12"/>
  <c r="J102" i="12" s="1"/>
  <c r="H112" i="12"/>
  <c r="I112" i="12" s="1"/>
  <c r="L112" i="12" s="1"/>
  <c r="E83" i="12"/>
  <c r="H107" i="12"/>
  <c r="I107" i="12" s="1"/>
  <c r="L107" i="12" s="1"/>
  <c r="H113" i="12"/>
  <c r="I113" i="12" s="1"/>
  <c r="L113" i="12" s="1"/>
  <c r="H110" i="12"/>
  <c r="I110" i="12" s="1"/>
  <c r="L110" i="12" s="1"/>
  <c r="K106" i="12"/>
  <c r="H108" i="12"/>
  <c r="I108" i="12" s="1"/>
  <c r="L108" i="12" s="1"/>
  <c r="H109" i="12"/>
  <c r="I109" i="12" s="1"/>
  <c r="L109" i="12" s="1"/>
  <c r="H103" i="12"/>
  <c r="I103" i="12" s="1"/>
  <c r="L103" i="12" s="1"/>
  <c r="C114" i="11"/>
  <c r="E108" i="11"/>
  <c r="C45" i="11"/>
  <c r="C46" i="11" s="1"/>
  <c r="C47" i="11" s="1"/>
  <c r="C48" i="11" s="1"/>
  <c r="C49" i="11" s="1"/>
  <c r="C50" i="11" s="1"/>
  <c r="C51" i="11" s="1"/>
  <c r="C52" i="11" s="1"/>
  <c r="C53" i="11" s="1"/>
  <c r="C54" i="11" s="1"/>
  <c r="C55" i="11" s="1"/>
  <c r="C56" i="11" s="1"/>
  <c r="C57" i="11" s="1"/>
  <c r="C58" i="11" s="1"/>
  <c r="C59" i="11" s="1"/>
  <c r="C60" i="11" s="1"/>
  <c r="C61" i="11" s="1"/>
  <c r="C62" i="11" s="1"/>
  <c r="C63" i="11" s="1"/>
  <c r="C64" i="11" s="1"/>
  <c r="C65" i="11" s="1"/>
  <c r="C66" i="11" s="1"/>
  <c r="C67" i="11" s="1"/>
  <c r="C68" i="11" s="1"/>
  <c r="C69" i="11" s="1"/>
  <c r="C70" i="11" s="1"/>
  <c r="C71" i="11" s="1"/>
  <c r="C72" i="11" s="1"/>
  <c r="C73" i="11" s="1"/>
  <c r="C74" i="11" s="1"/>
  <c r="E105" i="11"/>
  <c r="E109" i="11"/>
  <c r="E113" i="11"/>
  <c r="K113" i="11" s="1"/>
  <c r="E107" i="11"/>
  <c r="E104" i="11"/>
  <c r="E102" i="11"/>
  <c r="E106" i="11"/>
  <c r="E110" i="11"/>
  <c r="E103" i="11"/>
  <c r="E111" i="11"/>
  <c r="F28" i="11"/>
  <c r="D90" i="11"/>
  <c r="B45" i="11"/>
  <c r="D91" i="11"/>
  <c r="H26" i="3" s="1"/>
  <c r="H113" i="11"/>
  <c r="I113" i="11" s="1"/>
  <c r="L113" i="11" s="1"/>
  <c r="J73" i="11"/>
  <c r="K73" i="11" s="1"/>
  <c r="J71" i="11"/>
  <c r="K71" i="11" s="1"/>
  <c r="J69" i="11"/>
  <c r="K69" i="11" s="1"/>
  <c r="J67" i="11"/>
  <c r="K67" i="11" s="1"/>
  <c r="J65" i="11"/>
  <c r="K65" i="11" s="1"/>
  <c r="J63" i="11"/>
  <c r="J62" i="11"/>
  <c r="J61" i="11"/>
  <c r="J60" i="11"/>
  <c r="J57" i="11"/>
  <c r="J56" i="11"/>
  <c r="J55" i="11"/>
  <c r="J54" i="11"/>
  <c r="J53" i="11"/>
  <c r="J52" i="11"/>
  <c r="J51" i="11"/>
  <c r="J50" i="11"/>
  <c r="J49" i="11"/>
  <c r="J48" i="11"/>
  <c r="J47" i="11"/>
  <c r="J46" i="11"/>
  <c r="J45" i="11"/>
  <c r="J64" i="11"/>
  <c r="J68" i="11"/>
  <c r="K68" i="11" s="1"/>
  <c r="G102" i="11"/>
  <c r="G103" i="11"/>
  <c r="G104" i="11"/>
  <c r="G105" i="11"/>
  <c r="G106" i="11"/>
  <c r="G107" i="11"/>
  <c r="G108" i="11"/>
  <c r="G109" i="11"/>
  <c r="G110" i="11"/>
  <c r="G111" i="11"/>
  <c r="G112" i="11"/>
  <c r="K60" i="8"/>
  <c r="K62" i="8"/>
  <c r="Q39" i="8"/>
  <c r="Q40" i="8" s="1"/>
  <c r="Q41" i="8" s="1"/>
  <c r="Q42" i="8" s="1"/>
  <c r="Q43" i="8" s="1"/>
  <c r="Q44" i="8" s="1"/>
  <c r="Q45" i="8" s="1"/>
  <c r="Q46" i="8" s="1"/>
  <c r="Q47" i="8" s="1"/>
  <c r="Q48" i="8" s="1"/>
  <c r="Q49" i="8" s="1"/>
  <c r="Q50" i="8" s="1"/>
  <c r="Q51" i="8" s="1"/>
  <c r="Q52" i="8" s="1"/>
  <c r="Q53" i="8" s="1"/>
  <c r="Q54" i="8" s="1"/>
  <c r="Q55" i="8" s="1"/>
  <c r="Q56" i="8" s="1"/>
  <c r="Q57" i="8" s="1"/>
  <c r="Q58" i="8" s="1"/>
  <c r="Q59" i="8" s="1"/>
  <c r="Q60" i="8" s="1"/>
  <c r="Q61" i="8" s="1"/>
  <c r="Q62" i="8" s="1"/>
  <c r="Q63" i="8" s="1"/>
  <c r="K45" i="12" l="1"/>
  <c r="O45" i="12" s="1"/>
  <c r="F46" i="12"/>
  <c r="H46" i="12" s="1"/>
  <c r="E47" i="12" s="1"/>
  <c r="G47" i="12" s="1"/>
  <c r="K44" i="11"/>
  <c r="O44" i="11" s="1"/>
  <c r="E46" i="11"/>
  <c r="G46" i="11" s="1"/>
  <c r="K45" i="11"/>
  <c r="B47" i="12"/>
  <c r="D47" i="12" s="1"/>
  <c r="M46" i="12"/>
  <c r="N46" i="12" s="1"/>
  <c r="K114" i="12"/>
  <c r="J108" i="12"/>
  <c r="J107" i="12"/>
  <c r="J106" i="12"/>
  <c r="J103" i="12"/>
  <c r="J112" i="12"/>
  <c r="H114" i="12"/>
  <c r="I102" i="12"/>
  <c r="J105" i="12"/>
  <c r="J113" i="12"/>
  <c r="J111" i="12"/>
  <c r="J109" i="12"/>
  <c r="J110" i="12"/>
  <c r="J104" i="12"/>
  <c r="H105" i="11"/>
  <c r="J105" i="11" s="1"/>
  <c r="K105" i="11"/>
  <c r="M45" i="11"/>
  <c r="D45" i="11"/>
  <c r="B46" i="11"/>
  <c r="H112" i="11"/>
  <c r="J112" i="11" s="1"/>
  <c r="K112" i="11"/>
  <c r="H104" i="11"/>
  <c r="J104" i="11" s="1"/>
  <c r="K104" i="11"/>
  <c r="H111" i="11"/>
  <c r="J111" i="11" s="1"/>
  <c r="K111" i="11"/>
  <c r="H110" i="11"/>
  <c r="J110" i="11" s="1"/>
  <c r="K110" i="11"/>
  <c r="H103" i="11"/>
  <c r="J103" i="11" s="1"/>
  <c r="K103" i="11"/>
  <c r="E83" i="11"/>
  <c r="H109" i="11"/>
  <c r="J109" i="11" s="1"/>
  <c r="K109" i="11"/>
  <c r="H108" i="11"/>
  <c r="J108" i="11" s="1"/>
  <c r="K108" i="11"/>
  <c r="J113" i="11"/>
  <c r="H102" i="11"/>
  <c r="I102" i="11" s="1"/>
  <c r="G114" i="11"/>
  <c r="D116" i="11" s="1"/>
  <c r="K102" i="11"/>
  <c r="J75" i="11"/>
  <c r="H107" i="11"/>
  <c r="J107" i="11" s="1"/>
  <c r="K107" i="11"/>
  <c r="H106" i="11"/>
  <c r="J106" i="11" s="1"/>
  <c r="K106" i="11"/>
  <c r="Q64" i="8"/>
  <c r="M47" i="12" l="1"/>
  <c r="N47" i="12" s="1"/>
  <c r="B48" i="12"/>
  <c r="B49" i="12" s="1"/>
  <c r="P44" i="11"/>
  <c r="F47" i="12"/>
  <c r="K46" i="12"/>
  <c r="O46" i="12" s="1"/>
  <c r="F46" i="11"/>
  <c r="J114" i="12"/>
  <c r="D48" i="12"/>
  <c r="I114" i="12"/>
  <c r="D117" i="12" s="1"/>
  <c r="L102" i="12"/>
  <c r="L114" i="12" s="1"/>
  <c r="G27" i="3" s="1"/>
  <c r="I110" i="11"/>
  <c r="L110" i="11" s="1"/>
  <c r="I105" i="11"/>
  <c r="L105" i="11" s="1"/>
  <c r="L102" i="11"/>
  <c r="M46" i="11"/>
  <c r="D46" i="11"/>
  <c r="B47" i="11"/>
  <c r="I111" i="11"/>
  <c r="L111" i="11" s="1"/>
  <c r="N45" i="11"/>
  <c r="I103" i="11"/>
  <c r="L103" i="11" s="1"/>
  <c r="I107" i="11"/>
  <c r="L107" i="11" s="1"/>
  <c r="I108" i="11"/>
  <c r="L108" i="11" s="1"/>
  <c r="I104" i="11"/>
  <c r="L104" i="11" s="1"/>
  <c r="I106" i="11"/>
  <c r="L106" i="11" s="1"/>
  <c r="K114" i="11"/>
  <c r="I109" i="11"/>
  <c r="L109" i="11" s="1"/>
  <c r="I112" i="11"/>
  <c r="L112" i="11" s="1"/>
  <c r="H114" i="11"/>
  <c r="J102" i="11"/>
  <c r="J114" i="11" s="1"/>
  <c r="M48" i="12" l="1"/>
  <c r="H46" i="11"/>
  <c r="E47" i="11" s="1"/>
  <c r="G47" i="11" s="1"/>
  <c r="H47" i="12"/>
  <c r="E48" i="12" s="1"/>
  <c r="G48" i="12" s="1"/>
  <c r="K47" i="12"/>
  <c r="O47" i="12" s="1"/>
  <c r="K46" i="11"/>
  <c r="D49" i="12"/>
  <c r="M49" i="12"/>
  <c r="B50" i="12"/>
  <c r="N48" i="12"/>
  <c r="N46" i="11"/>
  <c r="M47" i="11"/>
  <c r="D47" i="11"/>
  <c r="B48" i="11"/>
  <c r="L114" i="11"/>
  <c r="G26" i="3" s="1"/>
  <c r="O45" i="11"/>
  <c r="I114" i="11"/>
  <c r="D117" i="11" s="1"/>
  <c r="F48" i="12" l="1"/>
  <c r="K48" i="12" s="1"/>
  <c r="O48" i="12" s="1"/>
  <c r="F47" i="11"/>
  <c r="K47" i="11" s="1"/>
  <c r="O46" i="11"/>
  <c r="Q46" i="11" s="1"/>
  <c r="R46" i="11" s="1"/>
  <c r="B51" i="12"/>
  <c r="M50" i="12"/>
  <c r="D50" i="12"/>
  <c r="N49" i="12"/>
  <c r="M48" i="11"/>
  <c r="D48" i="11"/>
  <c r="B49" i="11"/>
  <c r="Q45" i="11"/>
  <c r="R45" i="11" s="1"/>
  <c r="P45" i="11"/>
  <c r="N47" i="11"/>
  <c r="H47" i="11" l="1"/>
  <c r="E48" i="11" s="1"/>
  <c r="G48" i="11" s="1"/>
  <c r="P46" i="11"/>
  <c r="H48" i="12"/>
  <c r="E49" i="12" s="1"/>
  <c r="G49" i="12" s="1"/>
  <c r="M51" i="12"/>
  <c r="B52" i="12"/>
  <c r="D51" i="12"/>
  <c r="N50" i="12"/>
  <c r="O47" i="11"/>
  <c r="M49" i="11"/>
  <c r="D49" i="11"/>
  <c r="B50" i="11"/>
  <c r="N48" i="11"/>
  <c r="F49" i="12" l="1"/>
  <c r="K49" i="12" s="1"/>
  <c r="O49" i="12" s="1"/>
  <c r="F48" i="11"/>
  <c r="H48" i="11" s="1"/>
  <c r="N51" i="12"/>
  <c r="D52" i="12"/>
  <c r="M52" i="12"/>
  <c r="B53" i="12"/>
  <c r="N49" i="11"/>
  <c r="Q47" i="11"/>
  <c r="R47" i="11" s="1"/>
  <c r="M50" i="11"/>
  <c r="D50" i="11"/>
  <c r="B51" i="11"/>
  <c r="P47" i="11"/>
  <c r="H49" i="12" l="1"/>
  <c r="E50" i="12" s="1"/>
  <c r="K48" i="11"/>
  <c r="O48" i="11" s="1"/>
  <c r="E49" i="11"/>
  <c r="G49" i="11" s="1"/>
  <c r="D53" i="12"/>
  <c r="B54" i="12"/>
  <c r="M53" i="12"/>
  <c r="N52" i="12"/>
  <c r="N50" i="11"/>
  <c r="M51" i="11"/>
  <c r="D51" i="11"/>
  <c r="B52" i="11"/>
  <c r="G50" i="12" l="1"/>
  <c r="F50" i="12"/>
  <c r="H50" i="12" s="1"/>
  <c r="Q48" i="11"/>
  <c r="R48" i="11" s="1"/>
  <c r="P48" i="11"/>
  <c r="F49" i="11"/>
  <c r="B55" i="12"/>
  <c r="D54" i="12"/>
  <c r="M54" i="12"/>
  <c r="N53" i="12"/>
  <c r="M52" i="11"/>
  <c r="D52" i="11"/>
  <c r="B53" i="11"/>
  <c r="N51" i="11"/>
  <c r="H49" i="11" l="1"/>
  <c r="E50" i="11" s="1"/>
  <c r="G50" i="11" s="1"/>
  <c r="K50" i="12"/>
  <c r="O50" i="12" s="1"/>
  <c r="E51" i="12"/>
  <c r="G51" i="12" s="1"/>
  <c r="K49" i="11"/>
  <c r="O49" i="11" s="1"/>
  <c r="Q49" i="11" s="1"/>
  <c r="R49" i="11" s="1"/>
  <c r="N54" i="12"/>
  <c r="B56" i="12"/>
  <c r="D55" i="12"/>
  <c r="M55" i="12"/>
  <c r="M53" i="11"/>
  <c r="D53" i="11"/>
  <c r="B54" i="11"/>
  <c r="N52" i="11"/>
  <c r="F50" i="11" l="1"/>
  <c r="H50" i="11" s="1"/>
  <c r="F51" i="12"/>
  <c r="H51" i="12" s="1"/>
  <c r="E52" i="12" s="1"/>
  <c r="G52" i="12" s="1"/>
  <c r="P49" i="11"/>
  <c r="N53" i="11"/>
  <c r="N55" i="12"/>
  <c r="B57" i="12"/>
  <c r="D56" i="12"/>
  <c r="M56" i="12"/>
  <c r="M54" i="11"/>
  <c r="D54" i="11"/>
  <c r="B55" i="11"/>
  <c r="K50" i="11" l="1"/>
  <c r="O50" i="11" s="1"/>
  <c r="Q50" i="11" s="1"/>
  <c r="R50" i="11" s="1"/>
  <c r="E51" i="11"/>
  <c r="G51" i="11" s="1"/>
  <c r="K51" i="12"/>
  <c r="O51" i="12" s="1"/>
  <c r="F52" i="12"/>
  <c r="N56" i="12"/>
  <c r="D57" i="12"/>
  <c r="M57" i="12"/>
  <c r="B58" i="12"/>
  <c r="M55" i="11"/>
  <c r="D55" i="11"/>
  <c r="B56" i="11"/>
  <c r="N54" i="11"/>
  <c r="H52" i="12" l="1"/>
  <c r="E53" i="12" s="1"/>
  <c r="G53" i="12" s="1"/>
  <c r="F51" i="11"/>
  <c r="K51" i="11" s="1"/>
  <c r="O51" i="11" s="1"/>
  <c r="Q51" i="11" s="1"/>
  <c r="R51" i="11" s="1"/>
  <c r="P50" i="11"/>
  <c r="K52" i="12"/>
  <c r="O52" i="12" s="1"/>
  <c r="N55" i="11"/>
  <c r="B59" i="12"/>
  <c r="D58" i="12"/>
  <c r="M58" i="12"/>
  <c r="N57" i="12"/>
  <c r="M56" i="11"/>
  <c r="D56" i="11"/>
  <c r="B57" i="11"/>
  <c r="F53" i="12" l="1"/>
  <c r="K53" i="12" s="1"/>
  <c r="O53" i="12" s="1"/>
  <c r="P51" i="11"/>
  <c r="H51" i="11"/>
  <c r="E52" i="11" s="1"/>
  <c r="G52" i="11" s="1"/>
  <c r="N58" i="12"/>
  <c r="B60" i="12"/>
  <c r="D59" i="12"/>
  <c r="M59" i="12"/>
  <c r="N56" i="11"/>
  <c r="M57" i="11"/>
  <c r="D57" i="11"/>
  <c r="B58" i="11"/>
  <c r="H53" i="12" l="1"/>
  <c r="E54" i="12" s="1"/>
  <c r="G54" i="12" s="1"/>
  <c r="F52" i="11"/>
  <c r="H52" i="11" s="1"/>
  <c r="N59" i="12"/>
  <c r="B61" i="12"/>
  <c r="D60" i="12"/>
  <c r="M60" i="12"/>
  <c r="N57" i="11"/>
  <c r="M58" i="11"/>
  <c r="D58" i="11"/>
  <c r="B59" i="11"/>
  <c r="F54" i="12" l="1"/>
  <c r="K54" i="12" s="1"/>
  <c r="O54" i="12" s="1"/>
  <c r="K52" i="11"/>
  <c r="O52" i="11" s="1"/>
  <c r="E53" i="11"/>
  <c r="G53" i="11" s="1"/>
  <c r="N58" i="11"/>
  <c r="B62" i="12"/>
  <c r="M61" i="12"/>
  <c r="D61" i="12"/>
  <c r="N60" i="12"/>
  <c r="M59" i="11"/>
  <c r="D59" i="11"/>
  <c r="B60" i="11"/>
  <c r="H54" i="12" l="1"/>
  <c r="E55" i="12" s="1"/>
  <c r="Q52" i="11"/>
  <c r="R52" i="11" s="1"/>
  <c r="P52" i="11"/>
  <c r="F53" i="11"/>
  <c r="K53" i="11" s="1"/>
  <c r="O53" i="11" s="1"/>
  <c r="N61" i="12"/>
  <c r="N59" i="11"/>
  <c r="D62" i="12"/>
  <c r="M62" i="12"/>
  <c r="B63" i="12"/>
  <c r="M60" i="11"/>
  <c r="D60" i="11"/>
  <c r="B61" i="11"/>
  <c r="N60" i="11" l="1"/>
  <c r="F55" i="12"/>
  <c r="H55" i="12" s="1"/>
  <c r="E56" i="12" s="1"/>
  <c r="G55" i="12"/>
  <c r="H53" i="11"/>
  <c r="E54" i="11" s="1"/>
  <c r="Q53" i="11"/>
  <c r="R53" i="11" s="1"/>
  <c r="P53" i="11"/>
  <c r="N62" i="12"/>
  <c r="M63" i="12"/>
  <c r="B64" i="12"/>
  <c r="D63" i="12"/>
  <c r="M61" i="11"/>
  <c r="D61" i="11"/>
  <c r="B62" i="11"/>
  <c r="F54" i="11" l="1"/>
  <c r="G54" i="11"/>
  <c r="F56" i="12"/>
  <c r="H56" i="12" s="1"/>
  <c r="E57" i="12" s="1"/>
  <c r="G57" i="12" s="1"/>
  <c r="G56" i="12"/>
  <c r="K55" i="12"/>
  <c r="O55" i="12" s="1"/>
  <c r="H54" i="11"/>
  <c r="E55" i="11" s="1"/>
  <c r="N63" i="12"/>
  <c r="N61" i="11"/>
  <c r="B65" i="12"/>
  <c r="M64" i="12"/>
  <c r="D64" i="12"/>
  <c r="M62" i="11"/>
  <c r="D62" i="11"/>
  <c r="B63" i="11"/>
  <c r="K54" i="11" l="1"/>
  <c r="O54" i="11" s="1"/>
  <c r="Q54" i="11" s="1"/>
  <c r="R54" i="11" s="1"/>
  <c r="F55" i="11"/>
  <c r="G55" i="11"/>
  <c r="K56" i="12"/>
  <c r="O56" i="12" s="1"/>
  <c r="F57" i="12"/>
  <c r="H57" i="12" s="1"/>
  <c r="E58" i="12" s="1"/>
  <c r="G58" i="12" s="1"/>
  <c r="H55" i="11"/>
  <c r="E56" i="11" s="1"/>
  <c r="N64" i="12"/>
  <c r="N62" i="11"/>
  <c r="M65" i="12"/>
  <c r="B66" i="12"/>
  <c r="D65" i="12"/>
  <c r="M63" i="11"/>
  <c r="D63" i="11"/>
  <c r="B64" i="11"/>
  <c r="P54" i="11" l="1"/>
  <c r="K55" i="11"/>
  <c r="O55" i="11" s="1"/>
  <c r="Q55" i="11" s="1"/>
  <c r="R55" i="11" s="1"/>
  <c r="F56" i="11"/>
  <c r="H56" i="11" s="1"/>
  <c r="E57" i="11" s="1"/>
  <c r="G57" i="11" s="1"/>
  <c r="G56" i="11"/>
  <c r="K57" i="12"/>
  <c r="O57" i="12" s="1"/>
  <c r="F58" i="12"/>
  <c r="H58" i="12" s="1"/>
  <c r="E59" i="12" s="1"/>
  <c r="G59" i="12" s="1"/>
  <c r="N65" i="12"/>
  <c r="O65" i="12" s="1"/>
  <c r="B67" i="12"/>
  <c r="M66" i="12"/>
  <c r="D66" i="12"/>
  <c r="D64" i="11"/>
  <c r="B65" i="11"/>
  <c r="M64" i="11"/>
  <c r="N63" i="11"/>
  <c r="P55" i="11" l="1"/>
  <c r="K56" i="11"/>
  <c r="O56" i="11" s="1"/>
  <c r="Q56" i="11" s="1"/>
  <c r="R56" i="11" s="1"/>
  <c r="F57" i="11"/>
  <c r="H57" i="11" s="1"/>
  <c r="E58" i="11" s="1"/>
  <c r="G58" i="11" s="1"/>
  <c r="K58" i="12"/>
  <c r="O58" i="12" s="1"/>
  <c r="F59" i="12"/>
  <c r="H59" i="12" s="1"/>
  <c r="E60" i="12" s="1"/>
  <c r="G60" i="12" s="1"/>
  <c r="N66" i="12"/>
  <c r="O66" i="12" s="1"/>
  <c r="B68" i="12"/>
  <c r="D67" i="12"/>
  <c r="M67" i="12"/>
  <c r="M65" i="11"/>
  <c r="B66" i="11"/>
  <c r="D65" i="11"/>
  <c r="N64" i="11"/>
  <c r="F58" i="11" l="1"/>
  <c r="K58" i="11" s="1"/>
  <c r="O58" i="11" s="1"/>
  <c r="K57" i="11"/>
  <c r="O57" i="11" s="1"/>
  <c r="Q57" i="11" s="1"/>
  <c r="R57" i="11" s="1"/>
  <c r="P56" i="11"/>
  <c r="K59" i="12"/>
  <c r="O59" i="12" s="1"/>
  <c r="F60" i="12"/>
  <c r="H60" i="12" s="1"/>
  <c r="E61" i="12" s="1"/>
  <c r="G61" i="12" s="1"/>
  <c r="H58" i="11"/>
  <c r="E59" i="11" s="1"/>
  <c r="G59" i="11" s="1"/>
  <c r="N67" i="12"/>
  <c r="O67" i="12" s="1"/>
  <c r="B69" i="12"/>
  <c r="D68" i="12"/>
  <c r="M68" i="12"/>
  <c r="N65" i="11"/>
  <c r="O65" i="11" s="1"/>
  <c r="D66" i="11"/>
  <c r="M66" i="11"/>
  <c r="B67" i="11"/>
  <c r="P57" i="11" l="1"/>
  <c r="P58" i="11" s="1"/>
  <c r="K60" i="12"/>
  <c r="O60" i="12" s="1"/>
  <c r="F59" i="11"/>
  <c r="H59" i="11"/>
  <c r="F61" i="12"/>
  <c r="H61" i="12" s="1"/>
  <c r="E62" i="12" s="1"/>
  <c r="G62" i="12" s="1"/>
  <c r="Q58" i="11"/>
  <c r="R58" i="11" s="1"/>
  <c r="N68" i="12"/>
  <c r="O68" i="12" s="1"/>
  <c r="B70" i="12"/>
  <c r="D69" i="12"/>
  <c r="M69" i="12"/>
  <c r="M67" i="11"/>
  <c r="B68" i="11"/>
  <c r="D67" i="11"/>
  <c r="N66" i="11"/>
  <c r="O66" i="11" s="1"/>
  <c r="K59" i="11" l="1"/>
  <c r="O59" i="11" s="1"/>
  <c r="Q59" i="11" s="1"/>
  <c r="R59" i="11" s="1"/>
  <c r="E60" i="11"/>
  <c r="F62" i="12"/>
  <c r="K61" i="12"/>
  <c r="O61" i="12" s="1"/>
  <c r="N69" i="12"/>
  <c r="O69" i="12" s="1"/>
  <c r="B71" i="12"/>
  <c r="M70" i="12"/>
  <c r="D70" i="12"/>
  <c r="N67" i="11"/>
  <c r="O67" i="11" s="1"/>
  <c r="D68" i="11"/>
  <c r="B69" i="11"/>
  <c r="M68" i="11"/>
  <c r="F60" i="11" l="1"/>
  <c r="G60" i="11"/>
  <c r="P59" i="11"/>
  <c r="H60" i="11"/>
  <c r="E61" i="11" s="1"/>
  <c r="K62" i="12"/>
  <c r="O62" i="12" s="1"/>
  <c r="H62" i="12"/>
  <c r="E63" i="12" s="1"/>
  <c r="G63" i="12" s="1"/>
  <c r="N70" i="12"/>
  <c r="O70" i="12" s="1"/>
  <c r="B72" i="12"/>
  <c r="D71" i="12"/>
  <c r="M71" i="12"/>
  <c r="M69" i="11"/>
  <c r="B70" i="11"/>
  <c r="D69" i="11"/>
  <c r="N68" i="11"/>
  <c r="O68" i="11" s="1"/>
  <c r="K60" i="11" l="1"/>
  <c r="O60" i="11" s="1"/>
  <c r="P60" i="11" s="1"/>
  <c r="F61" i="11"/>
  <c r="G61" i="11"/>
  <c r="H61" i="11"/>
  <c r="E62" i="11" s="1"/>
  <c r="G62" i="11" s="1"/>
  <c r="F63" i="12"/>
  <c r="H63" i="12" s="1"/>
  <c r="E64" i="12" s="1"/>
  <c r="G64" i="12" s="1"/>
  <c r="N71" i="12"/>
  <c r="O71" i="12" s="1"/>
  <c r="B73" i="12"/>
  <c r="M72" i="12"/>
  <c r="D72" i="12"/>
  <c r="N69" i="11"/>
  <c r="O69" i="11" s="1"/>
  <c r="B71" i="11"/>
  <c r="D70" i="11"/>
  <c r="M70" i="11"/>
  <c r="K61" i="11" l="1"/>
  <c r="O61" i="11" s="1"/>
  <c r="P61" i="11" s="1"/>
  <c r="Q60" i="11"/>
  <c r="R60" i="11" s="1"/>
  <c r="F62" i="11"/>
  <c r="H62" i="11" s="1"/>
  <c r="E63" i="11" s="1"/>
  <c r="G63" i="11" s="1"/>
  <c r="F64" i="12"/>
  <c r="K63" i="12"/>
  <c r="O63" i="12" s="1"/>
  <c r="N72" i="12"/>
  <c r="O72" i="12" s="1"/>
  <c r="B74" i="12"/>
  <c r="D73" i="12"/>
  <c r="M73" i="12"/>
  <c r="N70" i="11"/>
  <c r="O70" i="11" s="1"/>
  <c r="M71" i="11"/>
  <c r="B72" i="11"/>
  <c r="D71" i="11"/>
  <c r="Q61" i="11" l="1"/>
  <c r="R61" i="11" s="1"/>
  <c r="K62" i="11"/>
  <c r="O62" i="11" s="1"/>
  <c r="F63" i="11"/>
  <c r="K63" i="11" s="1"/>
  <c r="G75" i="12"/>
  <c r="H64" i="12"/>
  <c r="N73" i="12"/>
  <c r="O73" i="12" s="1"/>
  <c r="M74" i="12"/>
  <c r="M75" i="12" s="1"/>
  <c r="D74" i="12"/>
  <c r="B75" i="12"/>
  <c r="N71" i="11"/>
  <c r="O71" i="11" s="1"/>
  <c r="B73" i="11"/>
  <c r="D72" i="11"/>
  <c r="M72" i="11"/>
  <c r="P44" i="12" l="1"/>
  <c r="P45" i="12" s="1"/>
  <c r="P46" i="12" s="1"/>
  <c r="P47" i="12" s="1"/>
  <c r="P48" i="12" s="1"/>
  <c r="P49" i="12" s="1"/>
  <c r="P50" i="12" s="1"/>
  <c r="P51" i="12" s="1"/>
  <c r="P52" i="12" s="1"/>
  <c r="P53" i="12" s="1"/>
  <c r="P54" i="12" s="1"/>
  <c r="P55" i="12" s="1"/>
  <c r="P56" i="12" s="1"/>
  <c r="P57" i="12" s="1"/>
  <c r="P58" i="12" s="1"/>
  <c r="P59" i="12" s="1"/>
  <c r="P60" i="12" s="1"/>
  <c r="P61" i="12" s="1"/>
  <c r="P62" i="12" s="1"/>
  <c r="P63" i="12" s="1"/>
  <c r="Q45" i="12"/>
  <c r="R45" i="12" s="1"/>
  <c r="Q46" i="12"/>
  <c r="R46" i="12" s="1"/>
  <c r="Q47" i="12"/>
  <c r="R47" i="12" s="1"/>
  <c r="Q48" i="12"/>
  <c r="R48" i="12" s="1"/>
  <c r="Q49" i="12"/>
  <c r="R49" i="12" s="1"/>
  <c r="Q50" i="12"/>
  <c r="R50" i="12" s="1"/>
  <c r="Q51" i="12"/>
  <c r="R51" i="12" s="1"/>
  <c r="Q52" i="12"/>
  <c r="R52" i="12" s="1"/>
  <c r="Q53" i="12"/>
  <c r="R53" i="12" s="1"/>
  <c r="Q54" i="12"/>
  <c r="R54" i="12" s="1"/>
  <c r="Q55" i="12"/>
  <c r="R55" i="12" s="1"/>
  <c r="Q56" i="12"/>
  <c r="R56" i="12" s="1"/>
  <c r="Q57" i="12"/>
  <c r="R57" i="12" s="1"/>
  <c r="Q58" i="12"/>
  <c r="R58" i="12" s="1"/>
  <c r="Q59" i="12"/>
  <c r="R59" i="12" s="1"/>
  <c r="Q60" i="12"/>
  <c r="R60" i="12" s="1"/>
  <c r="Q61" i="12"/>
  <c r="R61" i="12" s="1"/>
  <c r="Q62" i="12"/>
  <c r="R62" i="12" s="1"/>
  <c r="Q62" i="11"/>
  <c r="R62" i="11" s="1"/>
  <c r="P62" i="11"/>
  <c r="H63" i="11"/>
  <c r="E64" i="11" s="1"/>
  <c r="Q63" i="12"/>
  <c r="R63" i="12" s="1"/>
  <c r="K64" i="12"/>
  <c r="O64" i="12" s="1"/>
  <c r="O63" i="11"/>
  <c r="N74" i="12"/>
  <c r="O74" i="12" s="1"/>
  <c r="D75" i="12"/>
  <c r="N72" i="11"/>
  <c r="O72" i="11" s="1"/>
  <c r="M73" i="11"/>
  <c r="B74" i="11"/>
  <c r="D73" i="11"/>
  <c r="F64" i="11" l="1"/>
  <c r="H64" i="11" s="1"/>
  <c r="G64" i="11"/>
  <c r="G75" i="11" s="1"/>
  <c r="K75" i="12"/>
  <c r="E82" i="12" s="1"/>
  <c r="Q63" i="11"/>
  <c r="R63" i="11" s="1"/>
  <c r="P63" i="11"/>
  <c r="N73" i="11"/>
  <c r="O73" i="11" s="1"/>
  <c r="N75" i="12"/>
  <c r="D74" i="11"/>
  <c r="M74" i="11"/>
  <c r="M75" i="11" s="1"/>
  <c r="B75" i="11"/>
  <c r="Q65" i="12" l="1"/>
  <c r="R65" i="12" s="1"/>
  <c r="Q69" i="12"/>
  <c r="R69" i="12" s="1"/>
  <c r="Q68" i="12"/>
  <c r="R68" i="12" s="1"/>
  <c r="Q73" i="12"/>
  <c r="R73" i="12" s="1"/>
  <c r="Q67" i="12"/>
  <c r="R67" i="12" s="1"/>
  <c r="Q66" i="12"/>
  <c r="R66" i="12" s="1"/>
  <c r="Q70" i="12"/>
  <c r="R70" i="12" s="1"/>
  <c r="Q72" i="12"/>
  <c r="R72" i="12" s="1"/>
  <c r="Q64" i="12"/>
  <c r="R64" i="12" s="1"/>
  <c r="Q71" i="12"/>
  <c r="R71" i="12" s="1"/>
  <c r="P64" i="12"/>
  <c r="P65" i="12" s="1"/>
  <c r="P66" i="12" s="1"/>
  <c r="P67" i="12" s="1"/>
  <c r="P68" i="12" s="1"/>
  <c r="P69" i="12" s="1"/>
  <c r="P70" i="12" s="1"/>
  <c r="P71" i="12" s="1"/>
  <c r="P72" i="12" s="1"/>
  <c r="P73" i="12" s="1"/>
  <c r="P74" i="12" s="1"/>
  <c r="K64" i="11"/>
  <c r="Q74" i="12"/>
  <c r="E80" i="12"/>
  <c r="F27" i="3" s="1"/>
  <c r="N74" i="11"/>
  <c r="D75" i="11"/>
  <c r="R75" i="12" l="1"/>
  <c r="E79" i="12" s="1"/>
  <c r="E27" i="3" s="1"/>
  <c r="O64" i="11"/>
  <c r="K75" i="11"/>
  <c r="E82" i="11" s="1"/>
  <c r="E78" i="12"/>
  <c r="D27" i="3" s="1"/>
  <c r="R74" i="12"/>
  <c r="O74" i="11"/>
  <c r="N75" i="11"/>
  <c r="Q71" i="11" l="1"/>
  <c r="R71" i="11" s="1"/>
  <c r="Q64" i="11"/>
  <c r="R64" i="11" s="1"/>
  <c r="Q69" i="11"/>
  <c r="R69" i="11" s="1"/>
  <c r="Q72" i="11"/>
  <c r="R72" i="11" s="1"/>
  <c r="Q66" i="11"/>
  <c r="R66" i="11" s="1"/>
  <c r="Q70" i="11"/>
  <c r="R70" i="11" s="1"/>
  <c r="Q67" i="11"/>
  <c r="R67" i="11" s="1"/>
  <c r="Q68" i="11"/>
  <c r="R68" i="11" s="1"/>
  <c r="Q65" i="11"/>
  <c r="R65" i="11" s="1"/>
  <c r="P64" i="11"/>
  <c r="P65" i="11" s="1"/>
  <c r="P66" i="11" s="1"/>
  <c r="P67" i="11" s="1"/>
  <c r="P68" i="11" s="1"/>
  <c r="P69" i="11" s="1"/>
  <c r="P70" i="11" s="1"/>
  <c r="P71" i="11" s="1"/>
  <c r="P72" i="11" s="1"/>
  <c r="P73" i="11" s="1"/>
  <c r="P74" i="11" s="1"/>
  <c r="Q73" i="11"/>
  <c r="R73" i="11" s="1"/>
  <c r="Q74" i="11"/>
  <c r="E80" i="11"/>
  <c r="F26" i="3" s="1"/>
  <c r="R75" i="11" l="1"/>
  <c r="E79" i="11" s="1"/>
  <c r="E26" i="3" s="1"/>
  <c r="E78" i="11"/>
  <c r="D26" i="3" s="1"/>
  <c r="R74" i="11"/>
  <c r="J58" i="9" l="1"/>
  <c r="J57" i="9"/>
  <c r="J56" i="9"/>
  <c r="J55" i="9"/>
  <c r="J54" i="9"/>
  <c r="J53" i="9"/>
  <c r="J52" i="9"/>
  <c r="J51" i="9"/>
  <c r="J50" i="9"/>
  <c r="J49" i="9"/>
  <c r="J48" i="9"/>
  <c r="J47" i="9"/>
  <c r="J46" i="9"/>
  <c r="J45" i="9"/>
  <c r="J44" i="9"/>
  <c r="J43" i="9"/>
  <c r="J42" i="9"/>
  <c r="J41" i="9"/>
  <c r="J40" i="9"/>
  <c r="J39" i="9"/>
  <c r="Q38" i="9"/>
  <c r="P38" i="9"/>
  <c r="O38" i="9"/>
  <c r="B38" i="9"/>
  <c r="J59" i="9" l="1"/>
  <c r="D38" i="9"/>
  <c r="U38" i="9" s="1"/>
  <c r="C97" i="9"/>
  <c r="C93" i="9"/>
  <c r="C101" i="9"/>
  <c r="C96" i="9"/>
  <c r="C98" i="9"/>
  <c r="C103" i="9"/>
  <c r="C99" i="9"/>
  <c r="C100" i="9"/>
  <c r="C95" i="9"/>
  <c r="C94" i="9"/>
  <c r="C102" i="9"/>
  <c r="C104" i="9"/>
  <c r="P39" i="9"/>
  <c r="B39" i="9"/>
  <c r="Q39" i="9"/>
  <c r="Q40" i="9" s="1"/>
  <c r="Q41" i="9" s="1"/>
  <c r="Q42" i="9" s="1"/>
  <c r="Q43" i="9" s="1"/>
  <c r="Q44" i="9" s="1"/>
  <c r="Q45" i="9" s="1"/>
  <c r="Q46" i="9" s="1"/>
  <c r="Q47" i="9" s="1"/>
  <c r="Q48" i="9" s="1"/>
  <c r="Q49" i="9" s="1"/>
  <c r="Q50" i="9" s="1"/>
  <c r="Q51" i="9" s="1"/>
  <c r="Q52" i="9" s="1"/>
  <c r="Q53" i="9" s="1"/>
  <c r="Q54" i="9" s="1"/>
  <c r="Q55" i="9" s="1"/>
  <c r="Q56" i="9" s="1"/>
  <c r="Q57" i="9" s="1"/>
  <c r="Q58" i="9" s="1"/>
  <c r="P40" i="9" l="1"/>
  <c r="D39" i="9"/>
  <c r="U39" i="9" s="1"/>
  <c r="B40" i="9"/>
  <c r="Q59" i="9"/>
  <c r="P41" i="9" l="1"/>
  <c r="B41" i="9"/>
  <c r="D40" i="9"/>
  <c r="U40" i="9" l="1"/>
  <c r="B42" i="9"/>
  <c r="D41" i="9"/>
  <c r="P42" i="9"/>
  <c r="P43" i="9" l="1"/>
  <c r="B43" i="9"/>
  <c r="D42" i="9"/>
  <c r="U41" i="9"/>
  <c r="U42" i="9" l="1"/>
  <c r="D43" i="9"/>
  <c r="B44" i="9"/>
  <c r="P44" i="9"/>
  <c r="U43" i="9" l="1"/>
  <c r="P45" i="9"/>
  <c r="B45" i="9"/>
  <c r="D44" i="9"/>
  <c r="U44" i="9" l="1"/>
  <c r="B46" i="9"/>
  <c r="D45" i="9"/>
  <c r="P46" i="9"/>
  <c r="U45" i="9" l="1"/>
  <c r="B47" i="9"/>
  <c r="D46" i="9"/>
  <c r="U46" i="9" s="1"/>
  <c r="P47" i="9"/>
  <c r="P48" i="9" l="1"/>
  <c r="D47" i="9"/>
  <c r="U47" i="9" s="1"/>
  <c r="B48" i="9"/>
  <c r="B49" i="9" l="1"/>
  <c r="D48" i="9"/>
  <c r="U48" i="9" s="1"/>
  <c r="P49" i="9"/>
  <c r="P50" i="9" l="1"/>
  <c r="B50" i="9"/>
  <c r="D49" i="9"/>
  <c r="U49" i="9" s="1"/>
  <c r="P51" i="9" l="1"/>
  <c r="B51" i="9"/>
  <c r="D50" i="9"/>
  <c r="U50" i="9" s="1"/>
  <c r="P52" i="9" l="1"/>
  <c r="D51" i="9"/>
  <c r="U51" i="9" s="1"/>
  <c r="B52" i="9"/>
  <c r="B53" i="9" l="1"/>
  <c r="D52" i="9"/>
  <c r="U52" i="9" s="1"/>
  <c r="P53" i="9"/>
  <c r="B54" i="9" l="1"/>
  <c r="D53" i="9"/>
  <c r="U53" i="9" s="1"/>
  <c r="P54" i="9"/>
  <c r="P55" i="9" l="1"/>
  <c r="B55" i="9"/>
  <c r="D54" i="9"/>
  <c r="U54" i="9" s="1"/>
  <c r="P56" i="9" l="1"/>
  <c r="D55" i="9"/>
  <c r="U55" i="9" s="1"/>
  <c r="B56" i="9"/>
  <c r="P57" i="9" l="1"/>
  <c r="B57" i="9"/>
  <c r="D56" i="9"/>
  <c r="U56" i="9" s="1"/>
  <c r="P58" i="9" l="1"/>
  <c r="B58" i="9"/>
  <c r="D58" i="9" s="1"/>
  <c r="D57" i="9"/>
  <c r="U57" i="9" s="1"/>
  <c r="U58" i="9" l="1"/>
  <c r="D59" i="9"/>
  <c r="P59" i="9"/>
  <c r="K38" i="9" l="1"/>
  <c r="L38" i="9" s="1"/>
  <c r="M38" i="9" s="1"/>
  <c r="K38" i="8"/>
  <c r="V38" i="8" s="1"/>
  <c r="V38" i="9" l="1"/>
  <c r="L38" i="8"/>
  <c r="M38" i="8" s="1"/>
  <c r="P38" i="8" l="1"/>
  <c r="B38" i="8"/>
  <c r="B39" i="8" l="1"/>
  <c r="D38" i="8"/>
  <c r="P39" i="8"/>
  <c r="B22" i="3"/>
  <c r="P40" i="8" l="1"/>
  <c r="U38" i="8"/>
  <c r="D39" i="8"/>
  <c r="B40" i="8"/>
  <c r="E106" i="9"/>
  <c r="E104" i="9"/>
  <c r="E103" i="9"/>
  <c r="E102" i="9"/>
  <c r="E101" i="9"/>
  <c r="E100" i="9"/>
  <c r="E99" i="9"/>
  <c r="E98" i="9"/>
  <c r="E97" i="9"/>
  <c r="E96" i="9"/>
  <c r="E95" i="9"/>
  <c r="E94" i="9"/>
  <c r="E93" i="9"/>
  <c r="U39" i="8" l="1"/>
  <c r="B41" i="8"/>
  <c r="D40" i="8"/>
  <c r="P41" i="8"/>
  <c r="D106" i="9"/>
  <c r="D101" i="9" s="1"/>
  <c r="G100" i="9"/>
  <c r="M100" i="9" s="1"/>
  <c r="G96" i="9"/>
  <c r="M96" i="9" s="1"/>
  <c r="G103" i="9"/>
  <c r="M103" i="9" s="1"/>
  <c r="G99" i="9"/>
  <c r="M99" i="9" s="1"/>
  <c r="G95" i="9"/>
  <c r="M95" i="9" s="1"/>
  <c r="G102" i="9"/>
  <c r="M102" i="9" s="1"/>
  <c r="G98" i="9"/>
  <c r="M98" i="9" s="1"/>
  <c r="G94" i="9"/>
  <c r="M94" i="9" s="1"/>
  <c r="G101" i="9"/>
  <c r="M101" i="9" s="1"/>
  <c r="G97" i="9"/>
  <c r="M97" i="9" s="1"/>
  <c r="G93" i="9"/>
  <c r="G104" i="9"/>
  <c r="M104" i="9" s="1"/>
  <c r="E98" i="8"/>
  <c r="E99" i="8"/>
  <c r="E100" i="8"/>
  <c r="E101" i="8"/>
  <c r="E102" i="8"/>
  <c r="E103" i="8"/>
  <c r="E104" i="8"/>
  <c r="E105" i="8"/>
  <c r="E106" i="8"/>
  <c r="E107" i="8"/>
  <c r="E108" i="8"/>
  <c r="E109" i="8"/>
  <c r="E111" i="8"/>
  <c r="D111" i="8"/>
  <c r="D104" i="9" l="1"/>
  <c r="D96" i="9"/>
  <c r="P42" i="8"/>
  <c r="B42" i="8"/>
  <c r="D41" i="8"/>
  <c r="U40" i="8"/>
  <c r="D99" i="9"/>
  <c r="D94" i="9"/>
  <c r="D95" i="9"/>
  <c r="D97" i="9"/>
  <c r="D93" i="9"/>
  <c r="D100" i="9"/>
  <c r="D102" i="9"/>
  <c r="D103" i="9"/>
  <c r="D98" i="9"/>
  <c r="H97" i="9"/>
  <c r="K97" i="9" s="1"/>
  <c r="H103" i="9"/>
  <c r="K103" i="9" s="1"/>
  <c r="H101" i="9"/>
  <c r="K101" i="9" s="1"/>
  <c r="H96" i="9"/>
  <c r="K96" i="9" s="1"/>
  <c r="H100" i="9"/>
  <c r="K100" i="9" s="1"/>
  <c r="H102" i="9"/>
  <c r="K102" i="9" s="1"/>
  <c r="H94" i="9"/>
  <c r="K94" i="9" s="1"/>
  <c r="H98" i="9"/>
  <c r="K98" i="9" s="1"/>
  <c r="H104" i="9"/>
  <c r="K104" i="9" s="1"/>
  <c r="H95" i="9"/>
  <c r="K95" i="9" s="1"/>
  <c r="C105" i="9"/>
  <c r="D67" i="9" s="1"/>
  <c r="G105" i="9"/>
  <c r="M93" i="9"/>
  <c r="H93" i="9"/>
  <c r="I93" i="9" s="1"/>
  <c r="H99" i="9"/>
  <c r="K99" i="9" s="1"/>
  <c r="D98" i="8"/>
  <c r="D109" i="8"/>
  <c r="D106" i="8"/>
  <c r="D102" i="8"/>
  <c r="D105" i="8"/>
  <c r="D101" i="8"/>
  <c r="G101" i="8"/>
  <c r="M101" i="8" s="1"/>
  <c r="D108" i="8"/>
  <c r="D104" i="8"/>
  <c r="D100" i="8"/>
  <c r="D107" i="8"/>
  <c r="D103" i="8"/>
  <c r="D99" i="8"/>
  <c r="B43" i="8" l="1"/>
  <c r="D42" i="8"/>
  <c r="U41" i="8"/>
  <c r="P43" i="8"/>
  <c r="D87" i="9"/>
  <c r="I104" i="9"/>
  <c r="J104" i="9" s="1"/>
  <c r="I102" i="9"/>
  <c r="J102" i="9" s="1"/>
  <c r="I94" i="9"/>
  <c r="J94" i="9" s="1"/>
  <c r="I96" i="9"/>
  <c r="I97" i="9"/>
  <c r="L97" i="9" s="1"/>
  <c r="I98" i="9"/>
  <c r="I99" i="9"/>
  <c r="I95" i="9"/>
  <c r="J93" i="9"/>
  <c r="L93" i="9"/>
  <c r="I100" i="9"/>
  <c r="I101" i="9"/>
  <c r="M105" i="9"/>
  <c r="D64" i="9"/>
  <c r="I103" i="9"/>
  <c r="K93" i="9"/>
  <c r="K105" i="9" s="1"/>
  <c r="H105" i="9"/>
  <c r="D66" i="9" s="1"/>
  <c r="G106" i="8"/>
  <c r="M106" i="8" s="1"/>
  <c r="G100" i="8"/>
  <c r="G98" i="8"/>
  <c r="M98" i="8" s="1"/>
  <c r="G99" i="8"/>
  <c r="M99" i="8" s="1"/>
  <c r="G105" i="8"/>
  <c r="G107" i="8"/>
  <c r="M107" i="8" s="1"/>
  <c r="G103" i="8"/>
  <c r="M103" i="8" s="1"/>
  <c r="G108" i="8"/>
  <c r="M108" i="8" s="1"/>
  <c r="G102" i="8"/>
  <c r="M102" i="8" s="1"/>
  <c r="G109" i="8"/>
  <c r="M109" i="8" s="1"/>
  <c r="G104" i="8"/>
  <c r="M104" i="8" s="1"/>
  <c r="C110" i="8"/>
  <c r="H101" i="8"/>
  <c r="D88" i="9" l="1"/>
  <c r="H18" i="3" s="1"/>
  <c r="D71" i="9"/>
  <c r="U42" i="8"/>
  <c r="P44" i="8"/>
  <c r="D43" i="8"/>
  <c r="B44" i="8"/>
  <c r="H105" i="8"/>
  <c r="I105" i="8" s="1"/>
  <c r="M105" i="8"/>
  <c r="H100" i="8"/>
  <c r="K100" i="8" s="1"/>
  <c r="M100" i="8"/>
  <c r="L104" i="9"/>
  <c r="L102" i="9"/>
  <c r="J96" i="9"/>
  <c r="L96" i="9"/>
  <c r="J95" i="9"/>
  <c r="L95" i="9"/>
  <c r="J97" i="9"/>
  <c r="J98" i="9"/>
  <c r="L98" i="9"/>
  <c r="J99" i="9"/>
  <c r="L99" i="9"/>
  <c r="L94" i="9"/>
  <c r="D74" i="9"/>
  <c r="J101" i="9"/>
  <c r="L101" i="9"/>
  <c r="J100" i="9"/>
  <c r="L100" i="9"/>
  <c r="J103" i="9"/>
  <c r="L103" i="9"/>
  <c r="I105" i="9"/>
  <c r="R38" i="9" s="1"/>
  <c r="H106" i="8"/>
  <c r="K106" i="8" s="1"/>
  <c r="H103" i="8"/>
  <c r="K103" i="8" s="1"/>
  <c r="H104" i="8"/>
  <c r="K104" i="8" s="1"/>
  <c r="H107" i="8"/>
  <c r="K107" i="8" s="1"/>
  <c r="H98" i="8"/>
  <c r="I98" i="8" s="1"/>
  <c r="H99" i="8"/>
  <c r="K99" i="8" s="1"/>
  <c r="D72" i="8"/>
  <c r="H109" i="8"/>
  <c r="K109" i="8" s="1"/>
  <c r="H102" i="8"/>
  <c r="K102" i="8" s="1"/>
  <c r="G110" i="8"/>
  <c r="M110" i="8" s="1"/>
  <c r="D76" i="8" s="1"/>
  <c r="H108" i="8"/>
  <c r="I101" i="8"/>
  <c r="K101" i="8"/>
  <c r="U43" i="8" l="1"/>
  <c r="B45" i="8"/>
  <c r="D44" i="8"/>
  <c r="U44" i="8" s="1"/>
  <c r="P45" i="8"/>
  <c r="R39" i="9"/>
  <c r="K105" i="8"/>
  <c r="I100" i="8"/>
  <c r="J100" i="8" s="1"/>
  <c r="D92" i="8"/>
  <c r="D93" i="8"/>
  <c r="H22" i="3" s="1"/>
  <c r="L105" i="9"/>
  <c r="D72" i="9" s="1"/>
  <c r="J105" i="9"/>
  <c r="D69" i="9"/>
  <c r="I18" i="3" s="1"/>
  <c r="I103" i="8"/>
  <c r="L103" i="8" s="1"/>
  <c r="I106" i="8"/>
  <c r="J106" i="8" s="1"/>
  <c r="I104" i="8"/>
  <c r="J104" i="8" s="1"/>
  <c r="I107" i="8"/>
  <c r="L107" i="8" s="1"/>
  <c r="I99" i="8"/>
  <c r="L99" i="8" s="1"/>
  <c r="K98" i="8"/>
  <c r="D69" i="8"/>
  <c r="I102" i="8"/>
  <c r="L102" i="8" s="1"/>
  <c r="H110" i="8"/>
  <c r="I109" i="8"/>
  <c r="I108" i="8"/>
  <c r="K108" i="8"/>
  <c r="J105" i="8"/>
  <c r="L105" i="8"/>
  <c r="L98" i="8"/>
  <c r="J98" i="8"/>
  <c r="J101" i="8"/>
  <c r="L101" i="8"/>
  <c r="P46" i="8" l="1"/>
  <c r="D45" i="8"/>
  <c r="U45" i="8" s="1"/>
  <c r="B46" i="8"/>
  <c r="D73" i="9"/>
  <c r="V39" i="9"/>
  <c r="V40" i="9" s="1"/>
  <c r="V41" i="9" s="1"/>
  <c r="V42" i="9" s="1"/>
  <c r="V43" i="9" s="1"/>
  <c r="V44" i="9" s="1"/>
  <c r="V45" i="9" s="1"/>
  <c r="V46" i="9" s="1"/>
  <c r="V47" i="9" s="1"/>
  <c r="V48" i="9" s="1"/>
  <c r="V49" i="9" s="1"/>
  <c r="V50" i="9" s="1"/>
  <c r="V51" i="9" s="1"/>
  <c r="V52" i="9" s="1"/>
  <c r="V53" i="9" s="1"/>
  <c r="V54" i="9" s="1"/>
  <c r="V55" i="9" s="1"/>
  <c r="V56" i="9" s="1"/>
  <c r="V57" i="9" s="1"/>
  <c r="V58" i="9" s="1"/>
  <c r="D79" i="9"/>
  <c r="G18" i="3"/>
  <c r="R40" i="9"/>
  <c r="S39" i="9"/>
  <c r="L100" i="8"/>
  <c r="L104" i="8"/>
  <c r="J103" i="8"/>
  <c r="L106" i="8"/>
  <c r="J99" i="8"/>
  <c r="J107" i="8"/>
  <c r="K110" i="8"/>
  <c r="I110" i="8"/>
  <c r="R38" i="8" s="1"/>
  <c r="D79" i="8"/>
  <c r="D71" i="8"/>
  <c r="J102" i="8"/>
  <c r="L109" i="8"/>
  <c r="J109" i="8"/>
  <c r="J108" i="8"/>
  <c r="L108" i="8"/>
  <c r="R39" i="8" l="1"/>
  <c r="P47" i="8"/>
  <c r="D46" i="8"/>
  <c r="U46" i="8" s="1"/>
  <c r="B47" i="8"/>
  <c r="R41" i="9"/>
  <c r="S40" i="9"/>
  <c r="D74" i="8"/>
  <c r="I22" i="3" s="1"/>
  <c r="J110" i="8"/>
  <c r="L110" i="8"/>
  <c r="D77" i="8" s="1"/>
  <c r="V39" i="8" l="1"/>
  <c r="V40" i="8" s="1"/>
  <c r="V41" i="8" s="1"/>
  <c r="V42" i="8" s="1"/>
  <c r="V43" i="8" s="1"/>
  <c r="V44" i="8" s="1"/>
  <c r="V45" i="8" s="1"/>
  <c r="V46" i="8" s="1"/>
  <c r="V47" i="8" s="1"/>
  <c r="V48" i="8" s="1"/>
  <c r="V49" i="8" s="1"/>
  <c r="V50" i="8" s="1"/>
  <c r="V51" i="8" s="1"/>
  <c r="V52" i="8" s="1"/>
  <c r="V53" i="8" s="1"/>
  <c r="V54" i="8" s="1"/>
  <c r="V55" i="8" s="1"/>
  <c r="V56" i="8" s="1"/>
  <c r="V57" i="8" s="1"/>
  <c r="V58" i="8" s="1"/>
  <c r="V59" i="8" s="1"/>
  <c r="V60" i="8" s="1"/>
  <c r="V61" i="8" s="1"/>
  <c r="V62" i="8" s="1"/>
  <c r="V63" i="8" s="1"/>
  <c r="D84" i="8"/>
  <c r="G22" i="3"/>
  <c r="R40" i="8"/>
  <c r="S39" i="8"/>
  <c r="P48" i="8"/>
  <c r="B48" i="8"/>
  <c r="D47" i="8"/>
  <c r="U47" i="8" s="1"/>
  <c r="R42" i="9"/>
  <c r="S41" i="9"/>
  <c r="D78" i="8"/>
  <c r="R41" i="8" l="1"/>
  <c r="S40" i="8"/>
  <c r="B49" i="8"/>
  <c r="D48" i="8"/>
  <c r="U48" i="8" s="1"/>
  <c r="P49" i="8"/>
  <c r="R43" i="9"/>
  <c r="S42" i="9"/>
  <c r="R42" i="8" l="1"/>
  <c r="S41" i="8"/>
  <c r="P50" i="8"/>
  <c r="B50" i="8"/>
  <c r="D49" i="8"/>
  <c r="U49" i="8" s="1"/>
  <c r="R44" i="9"/>
  <c r="S43" i="9"/>
  <c r="R43" i="8" l="1"/>
  <c r="S42" i="8"/>
  <c r="D50" i="8"/>
  <c r="U50" i="8" s="1"/>
  <c r="B51" i="8"/>
  <c r="P51" i="8"/>
  <c r="R45" i="9"/>
  <c r="S44" i="9"/>
  <c r="R44" i="8" l="1"/>
  <c r="S43" i="8"/>
  <c r="P52" i="8"/>
  <c r="B52" i="8"/>
  <c r="D51" i="8"/>
  <c r="U51" i="8" s="1"/>
  <c r="R46" i="9"/>
  <c r="S45" i="9"/>
  <c r="R45" i="8" l="1"/>
  <c r="S44" i="8"/>
  <c r="B53" i="8"/>
  <c r="D52" i="8"/>
  <c r="U52" i="8" s="1"/>
  <c r="P53" i="8"/>
  <c r="R47" i="9"/>
  <c r="S46" i="9"/>
  <c r="R46" i="8" l="1"/>
  <c r="S45" i="8"/>
  <c r="P54" i="8"/>
  <c r="B54" i="8"/>
  <c r="D53" i="8"/>
  <c r="U53" i="8" s="1"/>
  <c r="R48" i="9"/>
  <c r="S47" i="9"/>
  <c r="R47" i="8" l="1"/>
  <c r="S46" i="8"/>
  <c r="D54" i="8"/>
  <c r="U54" i="8" s="1"/>
  <c r="B55" i="8"/>
  <c r="P55" i="8"/>
  <c r="R49" i="9"/>
  <c r="S48" i="9"/>
  <c r="R48" i="8" l="1"/>
  <c r="S47" i="8"/>
  <c r="P56" i="8"/>
  <c r="D55" i="8"/>
  <c r="U55" i="8" s="1"/>
  <c r="B56" i="8"/>
  <c r="R50" i="9"/>
  <c r="S49" i="9"/>
  <c r="R49" i="8" l="1"/>
  <c r="S48" i="8"/>
  <c r="D56" i="8"/>
  <c r="U56" i="8" s="1"/>
  <c r="B57" i="8"/>
  <c r="P57" i="8"/>
  <c r="R51" i="9"/>
  <c r="S50" i="9"/>
  <c r="R50" i="8" l="1"/>
  <c r="S49" i="8"/>
  <c r="P58" i="8"/>
  <c r="D57" i="8"/>
  <c r="U57" i="8" s="1"/>
  <c r="B58" i="8"/>
  <c r="R52" i="9"/>
  <c r="S51" i="9"/>
  <c r="R51" i="8" l="1"/>
  <c r="S50" i="8"/>
  <c r="D58" i="8"/>
  <c r="U58" i="8" s="1"/>
  <c r="B59" i="8"/>
  <c r="P59" i="8"/>
  <c r="R53" i="9"/>
  <c r="S52" i="9"/>
  <c r="R52" i="8" l="1"/>
  <c r="S51" i="8"/>
  <c r="P60" i="8"/>
  <c r="D59" i="8"/>
  <c r="U59" i="8" s="1"/>
  <c r="B60" i="8"/>
  <c r="R54" i="9"/>
  <c r="S53" i="9"/>
  <c r="R53" i="8" l="1"/>
  <c r="S52" i="8"/>
  <c r="D60" i="8"/>
  <c r="U60" i="8" s="1"/>
  <c r="B61" i="8"/>
  <c r="P61" i="8"/>
  <c r="R55" i="9"/>
  <c r="S54" i="9"/>
  <c r="R54" i="8" l="1"/>
  <c r="S53" i="8"/>
  <c r="P62" i="8"/>
  <c r="D61" i="8"/>
  <c r="U61" i="8" s="1"/>
  <c r="B62" i="8"/>
  <c r="R56" i="9"/>
  <c r="S55" i="9"/>
  <c r="R55" i="8" l="1"/>
  <c r="S54" i="8"/>
  <c r="D62" i="8"/>
  <c r="U62" i="8" s="1"/>
  <c r="B63" i="8"/>
  <c r="D63" i="8" s="1"/>
  <c r="D64" i="8" s="1"/>
  <c r="P63" i="8"/>
  <c r="R57" i="9"/>
  <c r="S56" i="9"/>
  <c r="R56" i="8" l="1"/>
  <c r="S55" i="8"/>
  <c r="P64" i="8"/>
  <c r="U63" i="8"/>
  <c r="R58" i="9"/>
  <c r="S57" i="9"/>
  <c r="R57" i="8" l="1"/>
  <c r="S56" i="8"/>
  <c r="S58" i="9"/>
  <c r="R59" i="9"/>
  <c r="R58" i="8" l="1"/>
  <c r="S57" i="8"/>
  <c r="S59" i="9"/>
  <c r="R59" i="8" l="1"/>
  <c r="S58" i="8"/>
  <c r="R60" i="8" l="1"/>
  <c r="S59" i="8"/>
  <c r="L59" i="8" l="1"/>
  <c r="R61" i="8"/>
  <c r="S60" i="8"/>
  <c r="L60" i="8" s="1"/>
  <c r="R62" i="8" l="1"/>
  <c r="S61" i="8"/>
  <c r="L61" i="8" l="1"/>
  <c r="R63" i="8"/>
  <c r="S62" i="8"/>
  <c r="L62" i="8" s="1"/>
  <c r="R64" i="8" l="1"/>
  <c r="S63" i="8"/>
  <c r="L63" i="8" l="1"/>
  <c r="S64" i="8"/>
  <c r="K39" i="8"/>
  <c r="E40" i="8"/>
  <c r="G40" i="8" s="1"/>
  <c r="F40" i="8" l="1"/>
  <c r="H40" i="8" s="1"/>
  <c r="E41" i="8" s="1"/>
  <c r="G41" i="8" s="1"/>
  <c r="L39" i="8"/>
  <c r="F41" i="8" l="1"/>
  <c r="K40" i="8"/>
  <c r="M39" i="8"/>
  <c r="N39" i="8"/>
  <c r="O39" i="8" s="1"/>
  <c r="H41" i="8" l="1"/>
  <c r="E42" i="8" s="1"/>
  <c r="K41" i="8"/>
  <c r="L41" i="8" s="1"/>
  <c r="L40" i="8"/>
  <c r="F42" i="8" l="1"/>
  <c r="H42" i="8" s="1"/>
  <c r="E43" i="8" s="1"/>
  <c r="G43" i="8" s="1"/>
  <c r="G42" i="8"/>
  <c r="N41" i="8"/>
  <c r="O41" i="8" s="1"/>
  <c r="N40" i="8"/>
  <c r="O40" i="8" s="1"/>
  <c r="M40" i="8"/>
  <c r="M41" i="8" s="1"/>
  <c r="K42" i="8" l="1"/>
  <c r="L42" i="8" s="1"/>
  <c r="M42" i="8" s="1"/>
  <c r="F43" i="8"/>
  <c r="H43" i="8" s="1"/>
  <c r="E44" i="8" s="1"/>
  <c r="G44" i="8" l="1"/>
  <c r="K43" i="8"/>
  <c r="L43" i="8" s="1"/>
  <c r="M43" i="8" s="1"/>
  <c r="F44" i="8"/>
  <c r="H44" i="8" s="1"/>
  <c r="E45" i="8" s="1"/>
  <c r="F45" i="8" s="1"/>
  <c r="N42" i="8"/>
  <c r="O42" i="8" s="1"/>
  <c r="H45" i="8" l="1"/>
  <c r="E46" i="8" s="1"/>
  <c r="F46" i="8" s="1"/>
  <c r="G45" i="8"/>
  <c r="K45" i="8" s="1"/>
  <c r="N43" i="8"/>
  <c r="O43" i="8" s="1"/>
  <c r="K44" i="8"/>
  <c r="L44" i="8" s="1"/>
  <c r="N44" i="8" s="1"/>
  <c r="O44" i="8" s="1"/>
  <c r="H46" i="8" l="1"/>
  <c r="E47" i="8" s="1"/>
  <c r="F47" i="8" s="1"/>
  <c r="G46" i="8"/>
  <c r="K46" i="8" s="1"/>
  <c r="L46" i="8" s="1"/>
  <c r="M44" i="8"/>
  <c r="L45" i="8"/>
  <c r="H47" i="8" l="1"/>
  <c r="E48" i="8" s="1"/>
  <c r="F48" i="8" s="1"/>
  <c r="G47" i="8"/>
  <c r="K47" i="8" s="1"/>
  <c r="L47" i="8" s="1"/>
  <c r="N47" i="8" s="1"/>
  <c r="O47" i="8" s="1"/>
  <c r="N46" i="8"/>
  <c r="O46" i="8" s="1"/>
  <c r="N45" i="8"/>
  <c r="O45" i="8" s="1"/>
  <c r="M45" i="8"/>
  <c r="M46" i="8" s="1"/>
  <c r="H48" i="8" l="1"/>
  <c r="E49" i="8" s="1"/>
  <c r="F49" i="8" s="1"/>
  <c r="G48" i="8"/>
  <c r="K48" i="8" s="1"/>
  <c r="L48" i="8" s="1"/>
  <c r="M47" i="8"/>
  <c r="H49" i="8" l="1"/>
  <c r="E50" i="8" s="1"/>
  <c r="F50" i="8" s="1"/>
  <c r="G49" i="8"/>
  <c r="K49" i="8" s="1"/>
  <c r="L49" i="8" s="1"/>
  <c r="M48" i="8"/>
  <c r="N48" i="8"/>
  <c r="O48" i="8" s="1"/>
  <c r="H50" i="8" l="1"/>
  <c r="E51" i="8" s="1"/>
  <c r="F51" i="8" s="1"/>
  <c r="G50" i="8"/>
  <c r="K50" i="8" s="1"/>
  <c r="L50" i="8" s="1"/>
  <c r="M49" i="8"/>
  <c r="N49" i="8"/>
  <c r="O49" i="8" s="1"/>
  <c r="H51" i="8" l="1"/>
  <c r="E52" i="8" s="1"/>
  <c r="F52" i="8" s="1"/>
  <c r="G51" i="8"/>
  <c r="K51" i="8" s="1"/>
  <c r="L51" i="8" s="1"/>
  <c r="N51" i="8" s="1"/>
  <c r="O51" i="8" s="1"/>
  <c r="M50" i="8"/>
  <c r="N50" i="8"/>
  <c r="O50" i="8" s="1"/>
  <c r="H52" i="8" l="1"/>
  <c r="E53" i="8" s="1"/>
  <c r="F53" i="8" s="1"/>
  <c r="G52" i="8"/>
  <c r="K52" i="8" s="1"/>
  <c r="L52" i="8" s="1"/>
  <c r="N52" i="8" s="1"/>
  <c r="O52" i="8" s="1"/>
  <c r="M51" i="8"/>
  <c r="H53" i="8" l="1"/>
  <c r="E54" i="8" s="1"/>
  <c r="F54" i="8" s="1"/>
  <c r="G53" i="8"/>
  <c r="K53" i="8" s="1"/>
  <c r="L53" i="8" s="1"/>
  <c r="N53" i="8" s="1"/>
  <c r="O53" i="8" s="1"/>
  <c r="M52" i="8"/>
  <c r="H54" i="8" l="1"/>
  <c r="E55" i="8" s="1"/>
  <c r="F55" i="8" s="1"/>
  <c r="G54" i="8"/>
  <c r="K54" i="8" s="1"/>
  <c r="L54" i="8" s="1"/>
  <c r="N54" i="8" s="1"/>
  <c r="O54" i="8" s="1"/>
  <c r="M53" i="8"/>
  <c r="H55" i="8" l="1"/>
  <c r="E56" i="8" s="1"/>
  <c r="F56" i="8" s="1"/>
  <c r="G55" i="8"/>
  <c r="K55" i="8" s="1"/>
  <c r="L55" i="8" s="1"/>
  <c r="N55" i="8" s="1"/>
  <c r="O55" i="8" s="1"/>
  <c r="M54" i="8"/>
  <c r="H56" i="8" l="1"/>
  <c r="E57" i="8" s="1"/>
  <c r="F57" i="8" s="1"/>
  <c r="G56" i="8"/>
  <c r="K56" i="8" s="1"/>
  <c r="L56" i="8" s="1"/>
  <c r="N56" i="8" s="1"/>
  <c r="O56" i="8" s="1"/>
  <c r="M55" i="8"/>
  <c r="H57" i="8" l="1"/>
  <c r="E58" i="8" s="1"/>
  <c r="F58" i="8" s="1"/>
  <c r="G57" i="8"/>
  <c r="K57" i="8" s="1"/>
  <c r="M56" i="8"/>
  <c r="H58" i="8" l="1"/>
  <c r="G58" i="8"/>
  <c r="G64" i="8" s="1"/>
  <c r="L57" i="8"/>
  <c r="M57" i="8" s="1"/>
  <c r="K58" i="8" l="1"/>
  <c r="L58" i="8" s="1"/>
  <c r="M58" i="8" s="1"/>
  <c r="M59" i="8" s="1"/>
  <c r="M60" i="8" s="1"/>
  <c r="M61" i="8" s="1"/>
  <c r="M62" i="8" s="1"/>
  <c r="M63" i="8" s="1"/>
  <c r="N57" i="8"/>
  <c r="O57" i="8" s="1"/>
  <c r="N58" i="8" l="1"/>
  <c r="O58" i="8" s="1"/>
  <c r="N63" i="8"/>
  <c r="D82" i="8" s="1"/>
  <c r="D22" i="3" s="1"/>
  <c r="N61" i="8"/>
  <c r="O61" i="8" s="1"/>
  <c r="N62" i="8"/>
  <c r="O62" i="8" s="1"/>
  <c r="N59" i="8"/>
  <c r="O59" i="8" s="1"/>
  <c r="N60" i="8"/>
  <c r="O60" i="8" s="1"/>
  <c r="D85" i="8"/>
  <c r="F22" i="3" s="1"/>
  <c r="K64" i="8"/>
  <c r="D86" i="8" s="1"/>
  <c r="O63" i="8" l="1"/>
  <c r="O64" i="8" s="1"/>
  <c r="D83" i="8" s="1"/>
  <c r="E22" i="3" s="1"/>
  <c r="E40" i="9"/>
  <c r="G40" i="9" s="1"/>
  <c r="F40" i="9" l="1"/>
  <c r="H40" i="9" s="1"/>
  <c r="K39" i="9"/>
  <c r="K40" i="9" l="1"/>
  <c r="L40" i="9" s="1"/>
  <c r="E41" i="9"/>
  <c r="L39" i="9"/>
  <c r="F41" i="9" l="1"/>
  <c r="G41" i="9"/>
  <c r="N40" i="9"/>
  <c r="O40" i="9" s="1"/>
  <c r="M39" i="9"/>
  <c r="M40" i="9" s="1"/>
  <c r="N39" i="9"/>
  <c r="O39" i="9" s="1"/>
  <c r="K41" i="9" l="1"/>
  <c r="L41" i="9" s="1"/>
  <c r="N41" i="9" s="1"/>
  <c r="O41" i="9" s="1"/>
  <c r="H41" i="9"/>
  <c r="E42" i="9" s="1"/>
  <c r="G42" i="9" s="1"/>
  <c r="M41" i="9" l="1"/>
  <c r="F42" i="9"/>
  <c r="H42" i="9" s="1"/>
  <c r="E43" i="9" s="1"/>
  <c r="G43" i="9" s="1"/>
  <c r="K42" i="9" l="1"/>
  <c r="L42" i="9" s="1"/>
  <c r="M42" i="9" s="1"/>
  <c r="F43" i="9"/>
  <c r="H43" i="9" s="1"/>
  <c r="N42" i="9" l="1"/>
  <c r="O42" i="9" s="1"/>
  <c r="K43" i="9"/>
  <c r="L43" i="9" s="1"/>
  <c r="E44" i="9"/>
  <c r="G44" i="9" s="1"/>
  <c r="N43" i="9" l="1"/>
  <c r="O43" i="9" s="1"/>
  <c r="M43" i="9"/>
  <c r="F44" i="9"/>
  <c r="H44" i="9" s="1"/>
  <c r="E45" i="9" s="1"/>
  <c r="G45" i="9" s="1"/>
  <c r="K44" i="9" l="1"/>
  <c r="L44" i="9" s="1"/>
  <c r="F45" i="9"/>
  <c r="H45" i="9" s="1"/>
  <c r="E46" i="9" s="1"/>
  <c r="G46" i="9" s="1"/>
  <c r="K45" i="9" l="1"/>
  <c r="L45" i="9" s="1"/>
  <c r="N44" i="9"/>
  <c r="O44" i="9" s="1"/>
  <c r="M44" i="9"/>
  <c r="F46" i="9"/>
  <c r="H46" i="9" s="1"/>
  <c r="E47" i="9" s="1"/>
  <c r="G47" i="9" s="1"/>
  <c r="M45" i="9" l="1"/>
  <c r="K46" i="9"/>
  <c r="L46" i="9" s="1"/>
  <c r="N46" i="9" s="1"/>
  <c r="O46" i="9" s="1"/>
  <c r="N45" i="9"/>
  <c r="O45" i="9" s="1"/>
  <c r="F47" i="9"/>
  <c r="H47" i="9" l="1"/>
  <c r="E48" i="9" s="1"/>
  <c r="K47" i="9"/>
  <c r="L47" i="9" s="1"/>
  <c r="N47" i="9" s="1"/>
  <c r="O47" i="9" s="1"/>
  <c r="M46" i="9"/>
  <c r="F48" i="9" l="1"/>
  <c r="G48" i="9"/>
  <c r="H48" i="9"/>
  <c r="E49" i="9" s="1"/>
  <c r="G49" i="9" s="1"/>
  <c r="M47" i="9"/>
  <c r="K48" i="9" l="1"/>
  <c r="L48" i="9" s="1"/>
  <c r="N48" i="9" s="1"/>
  <c r="O48" i="9" s="1"/>
  <c r="H49" i="9"/>
  <c r="F49" i="9"/>
  <c r="M48" i="9" l="1"/>
  <c r="K49" i="9"/>
  <c r="L49" i="9" s="1"/>
  <c r="N49" i="9" s="1"/>
  <c r="O49" i="9" s="1"/>
  <c r="E50" i="9"/>
  <c r="G50" i="9" s="1"/>
  <c r="M49" i="9" l="1"/>
  <c r="H50" i="9"/>
  <c r="F50" i="9"/>
  <c r="K50" i="9" l="1"/>
  <c r="L50" i="9" s="1"/>
  <c r="N50" i="9" s="1"/>
  <c r="O50" i="9" s="1"/>
  <c r="E51" i="9"/>
  <c r="G51" i="9" s="1"/>
  <c r="M50" i="9" l="1"/>
  <c r="H51" i="9"/>
  <c r="F51" i="9"/>
  <c r="K51" i="9" l="1"/>
  <c r="L51" i="9" s="1"/>
  <c r="N51" i="9" s="1"/>
  <c r="O51" i="9" s="1"/>
  <c r="E52" i="9"/>
  <c r="G52" i="9" s="1"/>
  <c r="M51" i="9" l="1"/>
  <c r="H52" i="9"/>
  <c r="F52" i="9"/>
  <c r="K52" i="9" l="1"/>
  <c r="L52" i="9" s="1"/>
  <c r="N52" i="9" s="1"/>
  <c r="O52" i="9" s="1"/>
  <c r="E53" i="9"/>
  <c r="G53" i="9" s="1"/>
  <c r="M52" i="9" l="1"/>
  <c r="H53" i="9"/>
  <c r="F53" i="9"/>
  <c r="K53" i="9" l="1"/>
  <c r="L53" i="9" s="1"/>
  <c r="E54" i="9"/>
  <c r="G54" i="9" s="1"/>
  <c r="H54" i="9" l="1"/>
  <c r="F54" i="9"/>
  <c r="N53" i="9"/>
  <c r="O53" i="9" s="1"/>
  <c r="M53" i="9"/>
  <c r="K54" i="9" l="1"/>
  <c r="L54" i="9" s="1"/>
  <c r="M54" i="9" s="1"/>
  <c r="E55" i="9"/>
  <c r="G55" i="9" s="1"/>
  <c r="H55" i="9" l="1"/>
  <c r="F55" i="9"/>
  <c r="N54" i="9"/>
  <c r="O54" i="9" s="1"/>
  <c r="K55" i="9" l="1"/>
  <c r="L55" i="9" s="1"/>
  <c r="E56" i="9"/>
  <c r="G56" i="9" s="1"/>
  <c r="H56" i="9" l="1"/>
  <c r="F56" i="9"/>
  <c r="N55" i="9"/>
  <c r="O55" i="9" s="1"/>
  <c r="M55" i="9"/>
  <c r="K56" i="9" l="1"/>
  <c r="L56" i="9" s="1"/>
  <c r="E57" i="9"/>
  <c r="G57" i="9" s="1"/>
  <c r="H57" i="9" l="1"/>
  <c r="F57" i="9"/>
  <c r="N56" i="9"/>
  <c r="O56" i="9" s="1"/>
  <c r="M56" i="9"/>
  <c r="K57" i="9" l="1"/>
  <c r="L57" i="9" s="1"/>
  <c r="E58" i="9"/>
  <c r="G58" i="9" s="1"/>
  <c r="G59" i="9" l="1"/>
  <c r="H58" i="9"/>
  <c r="N57" i="9"/>
  <c r="O57" i="9" s="1"/>
  <c r="M57" i="9"/>
  <c r="F58" i="9"/>
  <c r="K58" i="9" l="1"/>
  <c r="L58" i="9" s="1"/>
  <c r="M58" i="9" s="1"/>
  <c r="K59" i="9" l="1"/>
  <c r="D81" i="9" s="1"/>
  <c r="N58" i="9"/>
  <c r="D80" i="9"/>
  <c r="F18" i="3" s="1"/>
  <c r="O58" i="9" l="1"/>
  <c r="O59" i="9" s="1"/>
  <c r="D78" i="9" s="1"/>
  <c r="E18" i="3" s="1"/>
  <c r="D77" i="9"/>
  <c r="D1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Rummukainen Miika</author>
    <author/>
  </authors>
  <commentList>
    <comment ref="D9" authorId="0" shapeId="0" xr:uid="{2990BB3E-E284-4BF6-8717-932EFC3E53B1}">
      <text>
        <r>
          <rPr>
            <b/>
            <sz val="9"/>
            <color indexed="81"/>
            <rFont val="Tahoma"/>
            <family val="2"/>
          </rPr>
          <t>Rummukainen Miika:</t>
        </r>
        <r>
          <rPr>
            <sz val="9"/>
            <color indexed="81"/>
            <rFont val="Tahoma"/>
            <family val="2"/>
          </rPr>
          <t xml:space="preserve">
Huom! 
Kaukolämpö: tehomaksu, kausihinta, ym.
Sähkölämmitys: sähköenergia, sähkönsiirto, verot 
Öljylämmitys: 1,0 - 1,1 €/litra =&gt; kWh muunnos.
Tarkista omalta energiatoimittajalta (sähkö, kaukolämpö, öljy)!
Öljy: www.polttoaineet.net
Huom! Lähtötietoina hinnat joko "sis alv 0%" = yritykset, kunnat tai "veroineen" =  kuluttajat.</t>
        </r>
      </text>
    </comment>
    <comment ref="D10" authorId="0" shapeId="0" xr:uid="{052A8087-F9B7-43FC-81F6-807E888235D1}">
      <text>
        <r>
          <rPr>
            <b/>
            <sz val="9"/>
            <color indexed="81"/>
            <rFont val="Tahoma"/>
            <family val="2"/>
          </rPr>
          <t>Rummukainen Miika:</t>
        </r>
        <r>
          <rPr>
            <sz val="9"/>
            <color indexed="81"/>
            <rFont val="Tahoma"/>
            <family val="2"/>
          </rPr>
          <t xml:space="preserve">
Kaukolämpö 010718-010719. Esim 1,5-2%. (jossain vertailulaskemissa on huomioitu energian hintojen nousua, joka on öljyllä n. 9,4 % vuodessa ja sähköllä n. 5,2 % vuodessa…)
Kevät 2020: öljynhinta laskenut 1,0-1,1€/litrasta 0,65-0,7€/litraan (-35%), sähköenergianhinta laskenut 4-5c/kWh:sta 2-3c/kWh:iin.
Varmaa on vain suuremmat energianhintojen vaihtelut tulevaisuudessa.
</t>
        </r>
      </text>
    </comment>
    <comment ref="D11" authorId="0" shapeId="0" xr:uid="{22DE6108-B88C-4681-B9CF-3078D73063E8}">
      <text>
        <r>
          <rPr>
            <b/>
            <sz val="9"/>
            <color indexed="81"/>
            <rFont val="Tahoma"/>
            <family val="2"/>
          </rPr>
          <t>Rummukainen Miika:</t>
        </r>
        <r>
          <rPr>
            <sz val="9"/>
            <color indexed="81"/>
            <rFont val="Tahoma"/>
            <family val="2"/>
          </rPr>
          <t xml:space="preserve">
Huom! Muunnos esim. litroista tai kuutioista kWh:ksi.
Esim. öljylämmityksen kulutettu litramäärä sisältää noin 10 kWh lämpöenergiaa.</t>
        </r>
      </text>
    </comment>
    <comment ref="D12" authorId="0" shapeId="0" xr:uid="{BA2D12DC-B432-4642-8C04-9E44849FA5F2}">
      <text>
        <r>
          <rPr>
            <b/>
            <sz val="9"/>
            <color indexed="81"/>
            <rFont val="Tahoma"/>
            <family val="2"/>
          </rPr>
          <t>Rummukainen Miika:</t>
        </r>
        <r>
          <rPr>
            <sz val="9"/>
            <color indexed="81"/>
            <rFont val="Tahoma"/>
            <family val="2"/>
          </rPr>
          <t xml:space="preserve">
Oletus 100%. 
Esim. öljylämmitys oletus 80% hyötysuhteella.</t>
        </r>
      </text>
    </comment>
    <comment ref="D13" authorId="0" shapeId="0" xr:uid="{498140EF-051B-4D96-B9D2-27C50BF02683}">
      <text>
        <r>
          <rPr>
            <b/>
            <sz val="9"/>
            <color indexed="81"/>
            <rFont val="Tahoma"/>
            <family val="2"/>
          </rPr>
          <t>Rummukainen Miika:</t>
        </r>
        <r>
          <rPr>
            <sz val="9"/>
            <color indexed="81"/>
            <rFont val="Tahoma"/>
            <family val="2"/>
          </rPr>
          <t xml:space="preserve">
Korvattu arvo, huomioidaan kannattavuuslaskelmissa</t>
        </r>
      </text>
    </comment>
    <comment ref="D14" authorId="0" shapeId="0" xr:uid="{E1FAD116-F3EB-41E4-B185-E32FDD116CD5}">
      <text>
        <r>
          <rPr>
            <b/>
            <sz val="9"/>
            <color indexed="81"/>
            <rFont val="Tahoma"/>
            <family val="2"/>
          </rPr>
          <t>Rummukainen Miika:</t>
        </r>
        <r>
          <rPr>
            <sz val="9"/>
            <color indexed="81"/>
            <rFont val="Tahoma"/>
            <family val="2"/>
          </rPr>
          <t xml:space="preserve">
Tarvitaan, jos halutaan laskea esim. muutoksia yhtiövastikkeeseen.</t>
        </r>
      </text>
    </comment>
    <comment ref="D18" authorId="0" shapeId="0" xr:uid="{E85572E0-61B3-4E2E-B32F-4B548A98FD5B}">
      <text>
        <r>
          <rPr>
            <b/>
            <sz val="9"/>
            <color indexed="81"/>
            <rFont val="Tahoma"/>
            <family val="2"/>
          </rPr>
          <t>Rummukainen Miika:</t>
        </r>
        <r>
          <rPr>
            <sz val="9"/>
            <color indexed="81"/>
            <rFont val="Tahoma"/>
            <family val="2"/>
          </rPr>
          <t xml:space="preserve">
Esim. tyypilliisiä: COP MLP 3,20, IVLP 2,50</t>
        </r>
      </text>
    </comment>
    <comment ref="D19" authorId="0" shapeId="0" xr:uid="{0DE40653-A500-4F55-BB09-ACC62E75C692}">
      <text>
        <r>
          <rPr>
            <b/>
            <sz val="9"/>
            <color indexed="81"/>
            <rFont val="Tahoma"/>
            <family val="2"/>
          </rPr>
          <t>Rummukainen Miika:</t>
        </r>
        <r>
          <rPr>
            <sz val="9"/>
            <color indexed="81"/>
            <rFont val="Tahoma"/>
            <family val="2"/>
          </rPr>
          <t xml:space="preserve">
Lähde www.sulpu.fi: esim. VILP (7-9kW; 10000€) mitoitettavissa 10500kWh/vuosi säästöön energiankulutuksessa (lämmitys).
Arvio esim. VILP asennus 500 … 1000 € 
Huom! Lähtötietoina hinnat joko "sis alv 0%" = yritykset, kunnat tai "veroineen" = kuluttajat.</t>
        </r>
      </text>
    </comment>
    <comment ref="D20" authorId="0" shapeId="0" xr:uid="{689C1409-C48F-4773-B70D-DFF7CA273E5A}">
      <text>
        <r>
          <rPr>
            <b/>
            <sz val="9"/>
            <color indexed="81"/>
            <rFont val="Tahoma"/>
            <family val="2"/>
          </rPr>
          <t>Rummukainen Miika:</t>
        </r>
        <r>
          <rPr>
            <sz val="9"/>
            <color indexed="81"/>
            <rFont val="Tahoma"/>
            <family val="2"/>
          </rPr>
          <t xml:space="preserve">
 Kotitalousvähennys vero.fi: 
Esim. 2020: 2250€ asennustyön maks.vähennysmäärä, 40% työkorvauksesta, 100€ omavastuuosuus), 
 ARA energia-avustus:
Kun e-luvun parannusehto tai avustuksen saamisen taso täyttyy (esim. korjausten jälkeinen E-luku on enintään 0,56 (hlöasiakkaat!) / 0,64 (rivitalot) / 0,68 (kerrostalot) x rakentamisvuoden E-luku, enint. 4000 € per asunto), niin esim.
E-luvun laskenta 100%
öljylämmityksestä luopuminen 100%
lämpöpumput, LTO sekä aurinkoenergia 50%
Avustus on kuitenkin enintään 50 %:ia hankkeen toteutuneista, energiatehokkuutta parantavista ja avustettavaksi hyväksytyistä kustannuksista 
 ELY-keskus: öljylämmityksestä luopumisen avustus:
2 500 euroa tai 4 000 euroa uudesta lämmitysjärjestelmästä riippuen.
 Business Finland energiatuki:
Energiatukea eivät saa: asunto-osakeyhtiöt, asuinkiinteistöt, maatilat, ...
Lämpöpumppuhankkeet * 15 %
Aurinkosähköhankkeet 1.5.2019 alkaen 20 %
Uuden teknologian hankkeet enintään 40%</t>
        </r>
      </text>
    </comment>
    <comment ref="D21" authorId="0" shapeId="0" xr:uid="{14509C29-A39C-46FD-90DB-FE80A334D29E}">
      <text>
        <r>
          <rPr>
            <b/>
            <sz val="9"/>
            <color indexed="81"/>
            <rFont val="Tahoma"/>
            <family val="2"/>
          </rPr>
          <t>Rummukainen Miika:</t>
        </r>
        <r>
          <rPr>
            <sz val="9"/>
            <color indexed="81"/>
            <rFont val="Tahoma"/>
            <family val="2"/>
          </rPr>
          <t xml:space="preserve">
Tapauskohtaisesti arvioitavissa. Lähes aina lisää kiinteistön arvoa. Arvo vähennetään investointikustannuksesta!</t>
        </r>
      </text>
    </comment>
    <comment ref="D22" authorId="1" shapeId="0" xr:uid="{844DC6B7-5BEA-48EF-BD6C-7F3569F856BC}">
      <text>
        <r>
          <rPr>
            <sz val="12"/>
            <color rgb="FF000000"/>
            <rFont val="Calibri"/>
            <family val="2"/>
          </rPr>
          <t xml:space="preserve"> Huom! Tuotto-odotus vain tapauksissa, kun sijoitetaan aurinkovoimaan muutoin kuin omaan käyttöön (useimmiten). Tyypillisesti luokkaa 2%.</t>
        </r>
      </text>
    </comment>
    <comment ref="D24" authorId="0" shapeId="0" xr:uid="{FD7481BF-C826-4443-993F-310E366FCAB5}">
      <text>
        <r>
          <rPr>
            <b/>
            <sz val="9"/>
            <color indexed="81"/>
            <rFont val="Tahoma"/>
            <family val="2"/>
          </rPr>
          <t>Rummukainen Miika:</t>
        </r>
        <r>
          <rPr>
            <sz val="9"/>
            <color indexed="81"/>
            <rFont val="Tahoma"/>
            <family val="2"/>
          </rPr>
          <t xml:space="preserve">
Vinkki: kysy omalta energiayhtiöltä
Huom! Energiayhtiön mahdollinen pientuotannon siirtomaksu.
Huom! Lähtötietoina hinnat joko "sis alv 0%" = yritykset, kunnat tai "veroineen" =  kuluttajat.</t>
        </r>
      </text>
    </comment>
    <comment ref="D25" authorId="0" shapeId="0" xr:uid="{4E796378-93CA-4DFD-B4A7-CC43CA898A6A}">
      <text>
        <r>
          <rPr>
            <b/>
            <sz val="9"/>
            <color indexed="81"/>
            <rFont val="Tahoma"/>
            <family val="2"/>
          </rPr>
          <t>Rummukainen Miika:</t>
        </r>
        <r>
          <rPr>
            <sz val="9"/>
            <color indexed="81"/>
            <rFont val="Tahoma"/>
            <family val="2"/>
          </rPr>
          <t xml:space="preserve">
Esim. MLP huolto 220€, VILP 220€, PILP 200€, ILP 180€. Esim. kompressori, lämpökaivot, liuokset.
Elinkaaren vuosittaiset ja kertaluonteiset kulut lasketaan yhteen ja jaetaan elinkaaren kestolla (vuotta).
Huom! Lähtötietoina hinnat joko "sis alv 0%" = yritykset, kunnat tai "veroineen" =  kuluttajat.</t>
        </r>
      </text>
    </comment>
    <comment ref="D27" authorId="0" shapeId="0" xr:uid="{06CC3FD5-C24D-4620-B592-FDFBE25D9CF8}">
      <text>
        <r>
          <rPr>
            <b/>
            <sz val="9"/>
            <color indexed="81"/>
            <rFont val="Tahoma"/>
            <family val="2"/>
          </rPr>
          <t>Rummukainen Miika:</t>
        </r>
        <r>
          <rPr>
            <sz val="9"/>
            <color indexed="81"/>
            <rFont val="Tahoma"/>
            <family val="2"/>
          </rPr>
          <t xml:space="preserve">
Arvio, voi olla 0%.
Arvo -x,y %. 
Voi olla järjestelmä-, laitevalmistajakohtainen.
</t>
        </r>
      </text>
    </comment>
    <comment ref="D31" authorId="0" shapeId="0" xr:uid="{7B4B7694-08A2-4DEC-BEA2-10420125ACD7}">
      <text>
        <r>
          <rPr>
            <b/>
            <sz val="9"/>
            <color indexed="81"/>
            <rFont val="Tahoma"/>
            <family val="2"/>
          </rPr>
          <t>Rummukainen Miika:</t>
        </r>
        <r>
          <rPr>
            <sz val="9"/>
            <color indexed="81"/>
            <rFont val="Tahoma"/>
            <family val="2"/>
          </rPr>
          <t xml:space="preserve">
 Rahoituskulu, eli minkä korkoista lainaa tai muuta rahoitusta investointiin voidaan käyttää. Kotitalousasiakkaat &lt;2%, kunnat voi olla 0%.</t>
        </r>
      </text>
    </comment>
    <comment ref="N37" authorId="1" shapeId="0" xr:uid="{111E3E19-735B-474E-90AE-B87C90F729D8}">
      <text>
        <r>
          <rPr>
            <sz val="12"/>
            <color rgb="FF000000"/>
            <rFont val="Calibri"/>
            <family val="2"/>
          </rPr>
          <t xml:space="preserve">Laskee kumulatiiviset meno- ja kumulatiiviset tulovirrat yhteen määritellyllä laskentakorolla. Positiiviset arvot tarkoittavat stiä, että investointi tuottaa enemmän kuin siihen on mennyt rahaa.  nnattavaa investointia ja negatiiviset kannattamatonta. </t>
        </r>
      </text>
    </comment>
    <comment ref="O59" authorId="1" shapeId="0" xr:uid="{C84116BB-59A9-454D-9E83-F7DC3FC54524}">
      <text>
        <r>
          <rPr>
            <sz val="12"/>
            <color rgb="FF000000"/>
            <rFont val="Calibri"/>
            <family val="2"/>
          </rPr>
          <t xml:space="preserve">Takaisinmaksuaika
</t>
        </r>
      </text>
    </comment>
    <comment ref="S59" authorId="1" shapeId="0" xr:uid="{27350314-55E2-4CF2-926E-B4E4B074BC0F}">
      <text>
        <r>
          <rPr>
            <sz val="12"/>
            <color rgb="FF000000"/>
            <rFont val="Calibri"/>
            <family val="2"/>
          </rPr>
          <t>Nettonykyarvo</t>
        </r>
      </text>
    </comment>
    <comment ref="D65" authorId="0" shapeId="0" xr:uid="{1711FF6C-0A2D-455C-9AD6-4FBB9DB521C9}">
      <text>
        <r>
          <rPr>
            <b/>
            <sz val="9"/>
            <color indexed="81"/>
            <rFont val="Tahoma"/>
            <family val="2"/>
          </rPr>
          <t>Rummukainen Miika:</t>
        </r>
        <r>
          <rPr>
            <sz val="9"/>
            <color indexed="81"/>
            <rFont val="Tahoma"/>
            <family val="2"/>
          </rPr>
          <t xml:space="preserve">
Huom! Voi olla yksi, jos huomioitu esim. vuosituotaanossa jo.
</t>
        </r>
      </text>
    </comment>
    <comment ref="D68" authorId="0" shapeId="0" xr:uid="{C0359492-80E0-41E6-AF38-5050E6E9D3B6}">
      <text>
        <r>
          <rPr>
            <b/>
            <sz val="9"/>
            <color indexed="81"/>
            <rFont val="Tahoma"/>
            <family val="2"/>
          </rPr>
          <t>Rummukainen Miika:</t>
        </r>
        <r>
          <rPr>
            <sz val="9"/>
            <color indexed="81"/>
            <rFont val="Tahoma"/>
            <family val="2"/>
          </rPr>
          <t xml:space="preserve">
MLP 20+ (Käytetty: 25), IVLP 15+ (Käytetty: 20), ILP 10+ (Käytetty: 15).
Investoinnin laskenta-aika/elinkaari.</t>
        </r>
      </text>
    </comment>
    <comment ref="D69" authorId="0" shapeId="0" xr:uid="{522ED4E7-046A-497D-86A0-68CAE6A8707D}">
      <text>
        <r>
          <rPr>
            <b/>
            <sz val="9"/>
            <color indexed="81"/>
            <rFont val="Tahoma"/>
            <family val="2"/>
          </rPr>
          <t>Rummukainen Miika:</t>
        </r>
        <r>
          <rPr>
            <sz val="9"/>
            <color indexed="81"/>
            <rFont val="Tahoma"/>
            <family val="2"/>
          </rPr>
          <t xml:space="preserve">
IVLP voidaan mitoittaa 75% huipputehon tarpeesta.</t>
        </r>
      </text>
    </comment>
    <comment ref="D70" authorId="0" shapeId="0" xr:uid="{40FD8D7E-3847-40CE-85EC-93EB128E54E5}">
      <text>
        <r>
          <rPr>
            <b/>
            <sz val="9"/>
            <color indexed="81"/>
            <rFont val="Tahoma"/>
            <family val="2"/>
          </rPr>
          <t>Rummukainen Miika:</t>
        </r>
        <r>
          <rPr>
            <sz val="9"/>
            <color indexed="81"/>
            <rFont val="Tahoma"/>
            <family val="2"/>
          </rPr>
          <t xml:space="preserve">
Jos 
1* vero.fi kotitalousvähennys:
=D19-JOS(D19*D20&gt;2250;2250;D19*D20+100)-D2119*D20-D21
2* ara.fi energia-avustus:
hlöasiakkaat=D19-JOS(TAI(D19*D20&gt;4000;D19*D20&gt;0,5*D19);4000;D19*D20)-D21
tayt=D19-JOS(D14*4000&gt;0,5*D19;0,5*D19;D14*4000)
Huom! maksimi 50% kuluista
3* ely-keskus Öljylämmityksestä luopumisen avustus:
=D19-JOS(D19*D20&gt;4000;4000;D19*D20)-D21
4* Business Finland
=D19-D19*D20</t>
        </r>
      </text>
    </comment>
    <comment ref="D73" authorId="0" shapeId="0" xr:uid="{33AE4B9D-1321-4EC6-9EA4-2E69070D9055}">
      <text>
        <r>
          <rPr>
            <b/>
            <sz val="9"/>
            <color indexed="81"/>
            <rFont val="Tahoma"/>
            <family val="2"/>
          </rPr>
          <t>Rummukainen Miika:</t>
        </r>
        <r>
          <rPr>
            <sz val="9"/>
            <color indexed="81"/>
            <rFont val="Tahoma"/>
            <family val="2"/>
          </rPr>
          <t xml:space="preserve">
Kun järjestelmän mitoitus osittainen koko.
Huom. Tarkista millä muu lämpö toteutetan!</t>
        </r>
      </text>
    </comment>
    <comment ref="D74" authorId="0" shapeId="0" xr:uid="{9BB02D6D-3DCE-4FAD-A949-4EEC967565DD}">
      <text>
        <r>
          <rPr>
            <b/>
            <sz val="9"/>
            <color indexed="81"/>
            <rFont val="Tahoma"/>
            <family val="2"/>
          </rPr>
          <t>Rummukainen Miika:</t>
        </r>
        <r>
          <rPr>
            <sz val="9"/>
            <color indexed="81"/>
            <rFont val="Tahoma"/>
            <family val="2"/>
          </rPr>
          <t xml:space="preserve">
Esim. lämpöpumpun kuluttama sähkö elinkaaren aikana.
</t>
        </r>
      </text>
    </comment>
    <comment ref="D77" authorId="1" shapeId="0" xr:uid="{A574286A-527E-4CF4-8031-BAAAB956290A}">
      <text>
        <r>
          <rPr>
            <sz val="12"/>
            <color rgb="FF000000"/>
            <rFont val="Calibri"/>
            <family val="2"/>
          </rPr>
          <t>Investoinnin sisäinen korkokanta saadaan säätämällä korkokanta niin että tämä luku on nolla.
 -Jouni Juntunen</t>
        </r>
      </text>
    </comment>
    <comment ref="D78" authorId="0" shapeId="0" xr:uid="{C154AC13-FAC4-4B13-AE98-077BD42EA2E8}">
      <text>
        <r>
          <rPr>
            <b/>
            <sz val="9"/>
            <color indexed="81"/>
            <rFont val="Tahoma"/>
            <family val="2"/>
          </rPr>
          <t>Rummukainen Miika:</t>
        </r>
        <r>
          <rPr>
            <sz val="9"/>
            <color indexed="81"/>
            <rFont val="Tahoma"/>
            <family val="2"/>
          </rPr>
          <t xml:space="preserve">
Tyypillisesti luokkaa 5-6 vuotta. Sulpu 7,5 vuotta</t>
        </r>
      </text>
    </comment>
    <comment ref="D80" authorId="1" shapeId="0" xr:uid="{EA81FB6F-DEF4-4BBF-93D8-46C789C1C427}">
      <text>
        <r>
          <rPr>
            <sz val="12"/>
            <color rgb="FF000000"/>
            <rFont val="Calibri"/>
            <family val="2"/>
          </rPr>
          <t>Investointiin sidotun pääoman tuotto (tai tuotto-odotus).
Tuottoprosentti, kun tarkastellaan investointia käyttöiän jaksolla.
Lisätietoja:
http://users.metropolia.fi/~mikalem/investointilaskenta/5.%20Investoinnit_Sisainen_korkokanta_ROI_190913.pdf</t>
        </r>
      </text>
    </comment>
    <comment ref="D84" authorId="0" shapeId="0" xr:uid="{C5E3B7A4-2169-4F36-97DE-8898CFA1E285}">
      <text>
        <r>
          <rPr>
            <b/>
            <sz val="9"/>
            <color indexed="81"/>
            <rFont val="Tahoma"/>
            <family val="2"/>
          </rPr>
          <t>Rummukainen Miika:</t>
        </r>
        <r>
          <rPr>
            <sz val="9"/>
            <color indexed="81"/>
            <rFont val="Tahoma"/>
            <family val="2"/>
          </rPr>
          <t xml:space="preserve">
Suomen keskimääräinen ostosähkö. Tarkista omalta energiatoimittajalta!</t>
        </r>
      </text>
    </comment>
    <comment ref="D85" authorId="0" shapeId="0" xr:uid="{B2EFAAA5-5277-46A6-95E3-CCD6B56385AA}">
      <text>
        <r>
          <rPr>
            <b/>
            <sz val="9"/>
            <color indexed="81"/>
            <rFont val="Tahoma"/>
            <family val="2"/>
          </rPr>
          <t>Rummukainen Miika:</t>
        </r>
        <r>
          <rPr>
            <sz val="9"/>
            <color indexed="81"/>
            <rFont val="Tahoma"/>
            <family val="2"/>
          </rPr>
          <t xml:space="preserve">
Kaukolämmön yhteistuotanto. Tarkista omalta energiatoimittajalta!</t>
        </r>
      </text>
    </comment>
    <comment ref="D86" authorId="0" shapeId="0" xr:uid="{FC47E304-A229-4B0A-9D78-FF9030E9C407}">
      <text>
        <r>
          <rPr>
            <b/>
            <sz val="9"/>
            <color indexed="81"/>
            <rFont val="Tahoma"/>
            <family val="2"/>
          </rPr>
          <t>Rummukainen Miika:</t>
        </r>
        <r>
          <rPr>
            <sz val="9"/>
            <color indexed="81"/>
            <rFont val="Tahoma"/>
            <family val="2"/>
          </rPr>
          <t xml:space="preserve">
Kevyt polttoöljy,
lämpöarvo 11,85 kWh/l</t>
        </r>
      </text>
    </comment>
    <comment ref="D87" authorId="0" shapeId="0" xr:uid="{630DFF00-EE68-48B7-B85F-8B15BA908FD7}">
      <text>
        <r>
          <rPr>
            <b/>
            <sz val="9"/>
            <color indexed="81"/>
            <rFont val="Tahoma"/>
            <family val="2"/>
          </rPr>
          <t>Rummukainen Miika:</t>
        </r>
        <r>
          <rPr>
            <sz val="9"/>
            <color indexed="81"/>
            <rFont val="Tahoma"/>
            <family val="2"/>
          </rPr>
          <t xml:space="preserve">
Säästetty energiamäärä x päästökerroin</t>
        </r>
      </text>
    </comment>
    <comment ref="D88" authorId="0" shapeId="0" xr:uid="{BF47D814-91B4-4733-8B12-795ABE9FF28E}">
      <text>
        <r>
          <rPr>
            <b/>
            <sz val="9"/>
            <color indexed="81"/>
            <rFont val="Tahoma"/>
            <family val="2"/>
          </rPr>
          <t>Rummukainen Miika:</t>
        </r>
        <r>
          <rPr>
            <sz val="9"/>
            <color indexed="81"/>
            <rFont val="Tahoma"/>
            <family val="2"/>
          </rPr>
          <t xml:space="preserve">
Säästetty energiamäärä x päästökerroin</t>
        </r>
      </text>
    </comment>
    <comment ref="D92" authorId="0" shapeId="0" xr:uid="{57F16A96-F3BB-4F92-BD6B-E766574F336A}">
      <text>
        <r>
          <rPr>
            <b/>
            <sz val="9"/>
            <color indexed="81"/>
            <rFont val="Tahoma"/>
            <family val="2"/>
          </rPr>
          <t>Rummukainen Miika:</t>
        </r>
        <r>
          <rPr>
            <sz val="9"/>
            <color indexed="81"/>
            <rFont val="Tahoma"/>
            <family val="2"/>
          </rPr>
          <t xml:space="preserve">
Jota lämpöpumppuenergia korvaa tai täydentää
</t>
        </r>
      </text>
    </comment>
    <comment ref="E92" authorId="0" shapeId="0" xr:uid="{BFDA1573-790A-4726-B9EB-93A057A5C343}">
      <text>
        <r>
          <rPr>
            <b/>
            <sz val="9"/>
            <color indexed="81"/>
            <rFont val="Tahoma"/>
            <family val="2"/>
          </rPr>
          <t>Rummukainen Miika:</t>
        </r>
        <r>
          <rPr>
            <sz val="9"/>
            <color indexed="81"/>
            <rFont val="Tahoma"/>
            <family val="2"/>
          </rPr>
          <t xml:space="preserve">
Jos ei hintaa, niin laita 0 €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Rummukainen Miika</author>
    <author/>
  </authors>
  <commentList>
    <comment ref="D9" authorId="0" shapeId="0" xr:uid="{AE5419EA-E86E-4069-9D23-8E5BD612D48D}">
      <text>
        <r>
          <rPr>
            <b/>
            <sz val="9"/>
            <color indexed="81"/>
            <rFont val="Tahoma"/>
            <family val="2"/>
          </rPr>
          <t>Rummukainen Miika:</t>
        </r>
        <r>
          <rPr>
            <sz val="9"/>
            <color indexed="81"/>
            <rFont val="Tahoma"/>
            <family val="2"/>
          </rPr>
          <t xml:space="preserve">
Huom! 
Kaukolämpö: tehomaksu, kausihinta, ym.
Sähkölämmitys: sähköenergia, sähkönsiirto, verot 
Öljylämmitys: 1,0 - 1,1 €/litra =&gt; kWh muunnos.
Tarkista omalta energiatoimittajalta (sähkö, kaukolämpö, öljy)!
Öljy: www.polttoaineet.net
Huom! Lähtötietoina hinnat joko "sis alv 0%" = yritykset, kunnat tai "veroineen" =  kuluttajat.</t>
        </r>
      </text>
    </comment>
    <comment ref="D10" authorId="0" shapeId="0" xr:uid="{609C7BD8-75CF-4F2A-A0D2-35C954F80802}">
      <text>
        <r>
          <rPr>
            <b/>
            <sz val="9"/>
            <color indexed="81"/>
            <rFont val="Tahoma"/>
            <family val="2"/>
          </rPr>
          <t>Rummukainen Miika:</t>
        </r>
        <r>
          <rPr>
            <sz val="9"/>
            <color indexed="81"/>
            <rFont val="Tahoma"/>
            <family val="2"/>
          </rPr>
          <t xml:space="preserve">
Kaukolämpö 010718-010719. Esim 1,5-2%. (jossain vertailulaskemissa on huomioitu energian hintojen nousua, joka on öljyllä n. 9,4 % vuodessa ja sähköllä n. 5,2 % vuodessa…)
Kevät 2020: öljynhinta laskenut 1,0-1,1€/litrasta 0,65-0,7€/litraan (-35%), sähköenergianhinta laskenut 4-5c/kWh:sta 2-3c/kWh:iin.
Varmaa on vain suuremmat energianhintojen vaihtelut tulevaisuudessa.
</t>
        </r>
      </text>
    </comment>
    <comment ref="D11" authorId="0" shapeId="0" xr:uid="{28DE3DB7-2959-45CC-AF86-04982D9B1385}">
      <text>
        <r>
          <rPr>
            <b/>
            <sz val="9"/>
            <color indexed="81"/>
            <rFont val="Tahoma"/>
            <family val="2"/>
          </rPr>
          <t>Rummukainen Miika:</t>
        </r>
        <r>
          <rPr>
            <sz val="9"/>
            <color indexed="81"/>
            <rFont val="Tahoma"/>
            <family val="2"/>
          </rPr>
          <t xml:space="preserve">
Huom! Muunnos esim. litroista tai kuutioista kWh:ksi.
Esim. öljylämmityksen kulutettu litramäärä sisältää noin 10 kWh lämpöenergiaa.</t>
        </r>
      </text>
    </comment>
    <comment ref="D12" authorId="0" shapeId="0" xr:uid="{65885661-F9C0-4960-80BC-9ED2B3B706A3}">
      <text>
        <r>
          <rPr>
            <b/>
            <sz val="9"/>
            <color indexed="81"/>
            <rFont val="Tahoma"/>
            <family val="2"/>
          </rPr>
          <t>Rummukainen Miika:</t>
        </r>
        <r>
          <rPr>
            <sz val="9"/>
            <color indexed="81"/>
            <rFont val="Tahoma"/>
            <family val="2"/>
          </rPr>
          <t xml:space="preserve">
Oletus 100%. 
Esim. öljylämmitys oletus 80% hyötysuhteella.</t>
        </r>
      </text>
    </comment>
    <comment ref="D13" authorId="0" shapeId="0" xr:uid="{050C21FC-D53B-45B7-8E85-4B5E59B8DFF0}">
      <text>
        <r>
          <rPr>
            <b/>
            <sz val="9"/>
            <color indexed="81"/>
            <rFont val="Tahoma"/>
            <family val="2"/>
          </rPr>
          <t>Rummukainen Miika:</t>
        </r>
        <r>
          <rPr>
            <sz val="9"/>
            <color indexed="81"/>
            <rFont val="Tahoma"/>
            <family val="2"/>
          </rPr>
          <t xml:space="preserve">
Korvattu arvo, huomioidaan kannattavuuslaskelmissa</t>
        </r>
      </text>
    </comment>
    <comment ref="D14" authorId="0" shapeId="0" xr:uid="{595A87BC-1122-4B13-8549-6EB82E6D9D73}">
      <text>
        <r>
          <rPr>
            <b/>
            <sz val="9"/>
            <color indexed="81"/>
            <rFont val="Tahoma"/>
            <family val="2"/>
          </rPr>
          <t>Rummukainen Miika:</t>
        </r>
        <r>
          <rPr>
            <sz val="9"/>
            <color indexed="81"/>
            <rFont val="Tahoma"/>
            <family val="2"/>
          </rPr>
          <t xml:space="preserve">
Tarvitaan, jos halutaan laskea esim. muutoksia yhtiövastikkeeseen.</t>
        </r>
      </text>
    </comment>
    <comment ref="D18" authorId="0" shapeId="0" xr:uid="{475B1AAD-3354-404B-81DD-AEE641937FDF}">
      <text>
        <r>
          <rPr>
            <b/>
            <sz val="9"/>
            <color indexed="81"/>
            <rFont val="Tahoma"/>
            <family val="2"/>
          </rPr>
          <t>Rummukainen Miika:</t>
        </r>
        <r>
          <rPr>
            <sz val="9"/>
            <color indexed="81"/>
            <rFont val="Tahoma"/>
            <family val="2"/>
          </rPr>
          <t xml:space="preserve">
Esim. tyypillisiä: COP MLP 3,20.
 </t>
        </r>
      </text>
    </comment>
    <comment ref="D19" authorId="0" shapeId="0" xr:uid="{1F34FC1F-3180-4F6C-A715-357E031E9CE3}">
      <text>
        <r>
          <rPr>
            <b/>
            <sz val="9"/>
            <color indexed="81"/>
            <rFont val="Tahoma"/>
            <family val="2"/>
          </rPr>
          <t xml:space="preserve">Rummukainen Miika:
</t>
        </r>
        <r>
          <rPr>
            <sz val="9"/>
            <color indexed="81"/>
            <rFont val="Tahoma"/>
            <family val="2"/>
          </rPr>
          <t>Lähde esim. www.sulpu.fi: MLP (14000…20000€) mitoitettavissa 10500kWh/vuosi säästöön energiankulutuksessa kohteessa jossa 25000 kWH (sähköä lämmitykseen) tai 3000l öljy kulutus.
Arvio, josta esim. MLP kaivojen poraus 6500 €, MLP asennus 500 … 700 €.
Huom! Lähtötietoina hinnat joko "sis alv 0%" = yritykset, kunnat tai "veroineen" =  kuluttajat.</t>
        </r>
      </text>
    </comment>
    <comment ref="D20" authorId="0" shapeId="0" xr:uid="{1012F041-D6D2-453A-B4EA-98CB6DFDB0C9}">
      <text>
        <r>
          <rPr>
            <b/>
            <sz val="9"/>
            <color indexed="81"/>
            <rFont val="Tahoma"/>
            <family val="2"/>
          </rPr>
          <t>Rummukainen Miika:</t>
        </r>
        <r>
          <rPr>
            <sz val="9"/>
            <color indexed="81"/>
            <rFont val="Tahoma"/>
            <family val="2"/>
          </rPr>
          <t xml:space="preserve">
 Kotitalousvähennys vero.fi: 
Esim. 2020: 2250€ asennustyön maks.vähennysmäärä, 40% työkorvauksesta, 100€ omavastuuosuus), 
 ARA energia-avustus:
Kun e-luvun parannusehto tai avustuksen saamisen taso täyttyy (esim. korjausten jälkeinen E-luku on enintään 0,56 (hlöasiakkaat!) / 0,64 (rivitalot) / 0,68 (kerrostalot) x rakentamisvuoden E-luku, enint. 4000 € per asunto), niin esim.
E-luvun laskenta 100%
öljylämmityksestä luopuminen 100%
lämpöpumput, LTO sekä aurinkoenergia 50%
Avustus on kuitenkin enintään 50 %:ia hankkeen toteutuneista, energiatehokkuutta parantavista ja avustettavaksi hyväksytyistä kustannuksista 
 ELY-keskus: öljylämmityksestä luopumisen avustus:
2 500 euroa tai 4 000 euroa uudesta lämmitysjärjestelmästä riippuen.
 Business Finland energiatuki:
Energiatukea eivät saa: asunto-osakeyhtiöt, asuinkiinteistöt, maatilat, ...
Lämpöpumppuhankkeet * 15 %
Aurinkosähköhankkeet 1.5.2019 alkaen 20 %
Uuden teknologian hankkeet enintään 40%</t>
        </r>
      </text>
    </comment>
    <comment ref="D21" authorId="0" shapeId="0" xr:uid="{0455B757-8CC0-4B65-A90B-F5E6F4B6C260}">
      <text>
        <r>
          <rPr>
            <b/>
            <sz val="9"/>
            <color indexed="81"/>
            <rFont val="Tahoma"/>
            <family val="2"/>
          </rPr>
          <t>Rummukainen Miika:</t>
        </r>
        <r>
          <rPr>
            <sz val="9"/>
            <color indexed="81"/>
            <rFont val="Tahoma"/>
            <family val="2"/>
          </rPr>
          <t xml:space="preserve">
Tapauskohtaisesti arvioitavissa. Lähes aina lisää kiinteistön arvoa. Arvo vähennetään investointikustannuksesta!</t>
        </r>
      </text>
    </comment>
    <comment ref="D22" authorId="1" shapeId="0" xr:uid="{9A540209-5E0B-480A-A75F-3D7494A8658E}">
      <text>
        <r>
          <rPr>
            <sz val="12"/>
            <color rgb="FF000000"/>
            <rFont val="Calibri"/>
            <family val="2"/>
          </rPr>
          <t xml:space="preserve"> Huom! Tuotto-odotus vain tapauksissa, kun sijoitetaan aurinkovoimaan muutoin kuin omaan käyttöön (useimmiten). Tyypillisesti luokkaa 2%.</t>
        </r>
      </text>
    </comment>
    <comment ref="D24" authorId="0" shapeId="0" xr:uid="{025F8C3E-1379-4598-A679-BED472481403}">
      <text>
        <r>
          <rPr>
            <b/>
            <sz val="9"/>
            <color indexed="81"/>
            <rFont val="Tahoma"/>
            <family val="2"/>
          </rPr>
          <t>Rummukainen Miika:</t>
        </r>
        <r>
          <rPr>
            <sz val="9"/>
            <color indexed="81"/>
            <rFont val="Tahoma"/>
            <family val="2"/>
          </rPr>
          <t xml:space="preserve">
Vinkki: kysy omalta energiayhtiöltä
Huom! Energiayhtiön mahdollinen pientuotannon siirtomaksu.
Huom! Lähtötietoina hinnat joko "sis alv 0%" = yritykset, kunnat tai "veroineen" =  kuluttajat.</t>
        </r>
      </text>
    </comment>
    <comment ref="D25" authorId="0" shapeId="0" xr:uid="{CB425FC9-71CA-4462-8A5F-C25C7ABB9B49}">
      <text>
        <r>
          <rPr>
            <b/>
            <sz val="9"/>
            <color indexed="81"/>
            <rFont val="Tahoma"/>
            <family val="2"/>
          </rPr>
          <t>Rummukainen Miika:</t>
        </r>
        <r>
          <rPr>
            <sz val="9"/>
            <color indexed="81"/>
            <rFont val="Tahoma"/>
            <family val="2"/>
          </rPr>
          <t xml:space="preserve">
Esim. MLP huolto 220€, IVLP 220€, PILP 200€, ILP 180€. Esim. kompressori, lämpökaivot, liuokset.
Elinkaaren vuosittaiset ja kertaluonteist kulut lasketaan yhteen ja jaetaan elinkaaren kestolla (vuotta).
Huom! Lähtötietoina hinnat joko "sis alv 0%" = yritykset, kunnat tai "veroineen" =  kuluttajat.</t>
        </r>
      </text>
    </comment>
    <comment ref="D27" authorId="0" shapeId="0" xr:uid="{7DB34002-8548-4FD9-9BA3-A080305A7807}">
      <text>
        <r>
          <rPr>
            <b/>
            <sz val="9"/>
            <color indexed="81"/>
            <rFont val="Tahoma"/>
            <family val="2"/>
          </rPr>
          <t>Rummukainen Miika:</t>
        </r>
        <r>
          <rPr>
            <sz val="9"/>
            <color indexed="81"/>
            <rFont val="Tahoma"/>
            <family val="2"/>
          </rPr>
          <t xml:space="preserve">
Arvio, voi olla 0%.
Arvo -x,y %. 
Voi olla järjestelmä-, laitevalmistajakohtainen.
</t>
        </r>
      </text>
    </comment>
    <comment ref="D31" authorId="0" shapeId="0" xr:uid="{782D5701-3B5F-4B79-9E79-FD1067C5B066}">
      <text>
        <r>
          <rPr>
            <b/>
            <sz val="9"/>
            <color indexed="81"/>
            <rFont val="Tahoma"/>
            <family val="2"/>
          </rPr>
          <t>Rummukainen Miika:</t>
        </r>
        <r>
          <rPr>
            <sz val="9"/>
            <color indexed="81"/>
            <rFont val="Tahoma"/>
            <family val="2"/>
          </rPr>
          <t xml:space="preserve">
 Rahoituskulu, eli minkä korkoista lainaa tai muuta rahoitusta investointiin voidaan käyttää. Kotitalousasiakkaat &lt;2%, kunnat voi olla 0%.</t>
        </r>
      </text>
    </comment>
    <comment ref="N37" authorId="1" shapeId="0" xr:uid="{E1BC0D37-CB4D-4592-9374-9A0CC958DE7D}">
      <text>
        <r>
          <rPr>
            <sz val="12"/>
            <color rgb="FF000000"/>
            <rFont val="Calibri"/>
            <family val="2"/>
          </rPr>
          <t xml:space="preserve">Laskee kumulatiiviset meno- ja kumulatiiviset tulovirrat yhteen määritellyllä laskentakorolla. Positiiviset arvot tarkoittavat stiä, että investointi tuottaa enemmän kuin siihen on mennyt rahaa.  nnattavaa investointia ja negatiiviset kannattamatonta. </t>
        </r>
      </text>
    </comment>
    <comment ref="O64" authorId="1" shapeId="0" xr:uid="{BACC4149-9967-4453-BB1A-AACEE81F9FF2}">
      <text>
        <r>
          <rPr>
            <sz val="12"/>
            <color rgb="FF000000"/>
            <rFont val="Calibri"/>
            <family val="2"/>
          </rPr>
          <t xml:space="preserve">Takaisinmaksuaika
</t>
        </r>
      </text>
    </comment>
    <comment ref="S64" authorId="1" shapeId="0" xr:uid="{460858E1-844A-4DAD-AE7B-A6C6EB9A5BDC}">
      <text>
        <r>
          <rPr>
            <sz val="12"/>
            <color rgb="FF000000"/>
            <rFont val="Calibri"/>
            <family val="2"/>
          </rPr>
          <t>Nettonykyarvo</t>
        </r>
      </text>
    </comment>
    <comment ref="D70" authorId="0" shapeId="0" xr:uid="{96D1CAC2-317D-47C5-80C8-9A9D47B5DBE1}">
      <text>
        <r>
          <rPr>
            <b/>
            <sz val="9"/>
            <color indexed="81"/>
            <rFont val="Tahoma"/>
            <family val="2"/>
          </rPr>
          <t>Rummukainen Miika:</t>
        </r>
        <r>
          <rPr>
            <sz val="9"/>
            <color indexed="81"/>
            <rFont val="Tahoma"/>
            <family val="2"/>
          </rPr>
          <t xml:space="preserve">
Huom! Voi olla yksi, jos huomioitu esim. vuosituotaanossa jo.
</t>
        </r>
      </text>
    </comment>
    <comment ref="D73" authorId="0" shapeId="0" xr:uid="{F6E6D998-4444-4F6C-ADA8-91EBEA78EEBF}">
      <text>
        <r>
          <rPr>
            <b/>
            <sz val="9"/>
            <color indexed="81"/>
            <rFont val="Tahoma"/>
            <family val="2"/>
          </rPr>
          <t>Rummukainen Miika:</t>
        </r>
        <r>
          <rPr>
            <sz val="9"/>
            <color indexed="81"/>
            <rFont val="Tahoma"/>
            <family val="2"/>
          </rPr>
          <t xml:space="preserve">
MLP 20+ (Käytetty: 25), IVLP 15+ (Käytetty: 20), ILP 10+ (Käytetty: 15).
Investoinnin laskenta-aika/elinkaari.</t>
        </r>
      </text>
    </comment>
    <comment ref="D74" authorId="0" shapeId="0" xr:uid="{1342885F-0746-4885-B73A-0350D9DB21AA}">
      <text>
        <r>
          <rPr>
            <b/>
            <sz val="9"/>
            <color indexed="81"/>
            <rFont val="Tahoma"/>
            <family val="2"/>
          </rPr>
          <t>Rummukainen Miika:</t>
        </r>
        <r>
          <rPr>
            <sz val="9"/>
            <color indexed="81"/>
            <rFont val="Tahoma"/>
            <family val="2"/>
          </rPr>
          <t xml:space="preserve">
MLP voidaan mitoittaa 95-97% huipputehon tarpeesta,
IVLP voidaan mitoittaa 75% huipputehon tarpeesta.</t>
        </r>
      </text>
    </comment>
    <comment ref="D75" authorId="0" shapeId="0" xr:uid="{3EB861E0-9F99-482A-A3A0-E75907994CEB}">
      <text>
        <r>
          <rPr>
            <b/>
            <sz val="9"/>
            <color indexed="81"/>
            <rFont val="Tahoma"/>
            <family val="2"/>
          </rPr>
          <t>Rummukainen Miika:</t>
        </r>
        <r>
          <rPr>
            <sz val="9"/>
            <color indexed="81"/>
            <rFont val="Tahoma"/>
            <family val="2"/>
          </rPr>
          <t xml:space="preserve">
Jos 
1* vero.fi kotitalousvähennys:
=D19-JOS(D19*D20&gt;2250;2250;D19*D20+100)-D2119*D20-D21
2* ara.fi energia-avustus:
hlöasiakkaat=D19-JOS(D19*D20&gt;4000;4000;D19*D20)-D21
tayt=D19-JOS(D14*4000&gt;0,5*D19;0,5*D19;D14*4000)
3* Business Finland
=D19-D19*D20</t>
        </r>
      </text>
    </comment>
    <comment ref="D78" authorId="0" shapeId="0" xr:uid="{3DA311EA-6408-4B92-A839-E915884605F7}">
      <text>
        <r>
          <rPr>
            <b/>
            <sz val="9"/>
            <color indexed="81"/>
            <rFont val="Tahoma"/>
            <family val="2"/>
          </rPr>
          <t>Rummukainen Miika:</t>
        </r>
        <r>
          <rPr>
            <sz val="9"/>
            <color indexed="81"/>
            <rFont val="Tahoma"/>
            <family val="2"/>
          </rPr>
          <t xml:space="preserve">
Kun järjestelmän mitoitus osittainen koko.
Huom. Tarkista millä muu lämpö toteutetan!</t>
        </r>
      </text>
    </comment>
    <comment ref="D79" authorId="0" shapeId="0" xr:uid="{60DC39CD-5FD8-406C-B018-E3EEE94E0FFA}">
      <text>
        <r>
          <rPr>
            <b/>
            <sz val="9"/>
            <color indexed="81"/>
            <rFont val="Tahoma"/>
            <family val="2"/>
          </rPr>
          <t>Rummukainen Miika:</t>
        </r>
        <r>
          <rPr>
            <sz val="9"/>
            <color indexed="81"/>
            <rFont val="Tahoma"/>
            <family val="2"/>
          </rPr>
          <t xml:space="preserve">
Esim. lämpöpumpun kuluttama sähkö elinkaaren aikana.
</t>
        </r>
      </text>
    </comment>
    <comment ref="D82" authorId="1" shapeId="0" xr:uid="{6C70243D-82A7-403C-8DCE-33BC81BB04F0}">
      <text>
        <r>
          <rPr>
            <sz val="12"/>
            <color rgb="FF000000"/>
            <rFont val="Calibri"/>
            <family val="2"/>
          </rPr>
          <t>Investoinnin sisäinen korkokanta saadaan säätämällä korkokanta niin että tämä luku on nolla.
 -Jouni Juntunen</t>
        </r>
      </text>
    </comment>
    <comment ref="D83" authorId="0" shapeId="0" xr:uid="{917CE387-3FE1-46C2-80F2-AF2FAA7E3B01}">
      <text>
        <r>
          <rPr>
            <b/>
            <sz val="9"/>
            <color indexed="81"/>
            <rFont val="Tahoma"/>
            <family val="2"/>
          </rPr>
          <t>Rummukainen Miika:</t>
        </r>
        <r>
          <rPr>
            <sz val="9"/>
            <color indexed="81"/>
            <rFont val="Tahoma"/>
            <family val="2"/>
          </rPr>
          <t xml:space="preserve">
Tyypillisesti luokkaa 6-7 vuotta. Sulpu 8,5 vuotta</t>
        </r>
      </text>
    </comment>
    <comment ref="D85" authorId="1" shapeId="0" xr:uid="{D67DF680-6A85-44FC-8A47-8428414CB30E}">
      <text>
        <r>
          <rPr>
            <sz val="12"/>
            <color rgb="FF000000"/>
            <rFont val="Calibri"/>
            <family val="2"/>
          </rPr>
          <t>Investointiin sidotun pääoman tuotto (tai tuotto-odotus).
Tuottoprosentti, kun tarkastellaan investointia käyttöiän jaksolla.
Lisätietoja:
http://users.metropolia.fi/~mikalem/investointilaskenta/5.%20Investoinnit_Sisainen_korkokanta_ROI_190913.pdf</t>
        </r>
      </text>
    </comment>
    <comment ref="D89" authorId="0" shapeId="0" xr:uid="{D4559FF5-60DE-4229-AC60-92CBB8949224}">
      <text>
        <r>
          <rPr>
            <b/>
            <sz val="9"/>
            <color indexed="81"/>
            <rFont val="Tahoma"/>
            <family val="2"/>
          </rPr>
          <t>Rummukainen Miika:</t>
        </r>
        <r>
          <rPr>
            <sz val="9"/>
            <color indexed="81"/>
            <rFont val="Tahoma"/>
            <family val="2"/>
          </rPr>
          <t xml:space="preserve">
Suomen keskimääräinen ostosähkö. Tarkista omalta energiatoimittajalta!</t>
        </r>
      </text>
    </comment>
    <comment ref="D90" authorId="0" shapeId="0" xr:uid="{463C7AFF-486E-43D6-BA6C-C28155342AE7}">
      <text>
        <r>
          <rPr>
            <b/>
            <sz val="9"/>
            <color indexed="81"/>
            <rFont val="Tahoma"/>
            <family val="2"/>
          </rPr>
          <t>Rummukainen Miika:</t>
        </r>
        <r>
          <rPr>
            <sz val="9"/>
            <color indexed="81"/>
            <rFont val="Tahoma"/>
            <family val="2"/>
          </rPr>
          <t xml:space="preserve">
Kaukolämmön yhteistuotanto. Tarkista omalta energiatoimittajalta!</t>
        </r>
      </text>
    </comment>
    <comment ref="D91" authorId="0" shapeId="0" xr:uid="{456CC7FC-4D6C-439E-BC89-C96EAFC3571A}">
      <text>
        <r>
          <rPr>
            <b/>
            <sz val="9"/>
            <color indexed="81"/>
            <rFont val="Tahoma"/>
            <family val="2"/>
          </rPr>
          <t>Rummukainen Miika:</t>
        </r>
        <r>
          <rPr>
            <sz val="9"/>
            <color indexed="81"/>
            <rFont val="Tahoma"/>
            <family val="2"/>
          </rPr>
          <t xml:space="preserve">
Kevyt polttoöljy,
lämpöarvo 11,85 kWh/l</t>
        </r>
      </text>
    </comment>
    <comment ref="D92" authorId="0" shapeId="0" xr:uid="{9E47D571-AECF-4F82-B3E9-2F0310B8AA1F}">
      <text>
        <r>
          <rPr>
            <b/>
            <sz val="9"/>
            <color indexed="81"/>
            <rFont val="Tahoma"/>
            <family val="2"/>
          </rPr>
          <t>Rummukainen Miika:</t>
        </r>
        <r>
          <rPr>
            <sz val="9"/>
            <color indexed="81"/>
            <rFont val="Tahoma"/>
            <family val="2"/>
          </rPr>
          <t xml:space="preserve">
Säästetty energiamäärä x päästökerroin</t>
        </r>
      </text>
    </comment>
    <comment ref="D93" authorId="0" shapeId="0" xr:uid="{ABC50F42-1A71-41B6-8F57-05F457072495}">
      <text>
        <r>
          <rPr>
            <b/>
            <sz val="9"/>
            <color indexed="81"/>
            <rFont val="Tahoma"/>
            <family val="2"/>
          </rPr>
          <t>Rummukainen Miika:</t>
        </r>
        <r>
          <rPr>
            <sz val="9"/>
            <color indexed="81"/>
            <rFont val="Tahoma"/>
            <family val="2"/>
          </rPr>
          <t xml:space="preserve">
Säästetty energiamäärä x päästökerroin</t>
        </r>
      </text>
    </comment>
    <comment ref="D97" authorId="0" shapeId="0" xr:uid="{F348648B-7885-4014-91E7-0DE9DF1F6B51}">
      <text>
        <r>
          <rPr>
            <b/>
            <sz val="9"/>
            <color indexed="81"/>
            <rFont val="Tahoma"/>
            <family val="2"/>
          </rPr>
          <t>Rummukainen Miika:</t>
        </r>
        <r>
          <rPr>
            <sz val="9"/>
            <color indexed="81"/>
            <rFont val="Tahoma"/>
            <family val="2"/>
          </rPr>
          <t xml:space="preserve">
Jota lämpöpumppuenergia korvaa tai täydentää
</t>
        </r>
      </text>
    </comment>
    <comment ref="E97" authorId="0" shapeId="0" xr:uid="{72897493-7014-498C-BF3A-BC18A1E1BCB7}">
      <text>
        <r>
          <rPr>
            <b/>
            <sz val="9"/>
            <color indexed="81"/>
            <rFont val="Tahoma"/>
            <family val="2"/>
          </rPr>
          <t>Rummukainen Miika:</t>
        </r>
        <r>
          <rPr>
            <sz val="9"/>
            <color indexed="81"/>
            <rFont val="Tahoma"/>
            <family val="2"/>
          </rPr>
          <t xml:space="preserve">
Jos ei hintaa, niin laita 0 €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Rummukainen Miika</author>
    <author/>
  </authors>
  <commentList>
    <comment ref="F29" authorId="0" shapeId="0" xr:uid="{731BB0DF-11EA-4E98-B744-271EFB9B4285}">
      <text>
        <r>
          <rPr>
            <b/>
            <sz val="9"/>
            <color indexed="81"/>
            <rFont val="Tahoma"/>
            <family val="2"/>
          </rPr>
          <t>Rummukainen Miika:</t>
        </r>
        <r>
          <rPr>
            <sz val="9"/>
            <color indexed="81"/>
            <rFont val="Tahoma"/>
            <family val="2"/>
          </rPr>
          <t xml:space="preserve">
Kotitalousvähennys vero.fi:
Esim. 2020: 2250€ asennustyön maks.vähennysmäärä, 40% työkorvauksesta, 100€ omavastuuosuus, 3kW järjestelmässä asennusosuus tyypillisesti 1500-2000 € (vähennys luokkaa 500-700 €).
ARA energia-avustus:
Kun e-luvun parannusehto tai avustuksen saamisen taso täyttyy (esim. korjausten jälkeinen E-luku on enintään 0,56 (hlöasiakkaat!) / 0,64 (rivitalot) / 0,68 (kerrostalot) x rakentamisvuoden E-luku, enint. 4000 € per asunto), niin e 
 Business Finland energiatuki https://www.businessfinland.fi/energiatuki/ : 
Energiatukea eivät saa: asunto-osakeyhtiöt, asuinkiinteistöt, maatilat, ...
Lämpöpumppuhankkeet * 15 %
Aurinkosähköhankkeet 1.5.2019 alkaen 20 %
Uuden teknologian hankkeet enintään 40%</t>
        </r>
      </text>
    </comment>
    <comment ref="F33" authorId="0" shapeId="0" xr:uid="{F6FBD2D4-4C02-43CA-A831-927187EB73E6}">
      <text>
        <r>
          <rPr>
            <b/>
            <sz val="9"/>
            <color indexed="81"/>
            <rFont val="Tahoma"/>
            <family val="2"/>
          </rPr>
          <t>Rummukainen Miika:</t>
        </r>
        <r>
          <rPr>
            <sz val="9"/>
            <color indexed="81"/>
            <rFont val="Tahoma"/>
            <family val="2"/>
          </rPr>
          <t xml:space="preserve">
Max. Laina-aika 20 vuotta.
</t>
        </r>
      </text>
    </comment>
    <comment ref="Q43" authorId="1" shapeId="0" xr:uid="{C2D4A805-23B9-48D2-ACAE-1CC2A1047524}">
      <text>
        <r>
          <rPr>
            <sz val="12"/>
            <color rgb="FF000000"/>
            <rFont val="Calibri"/>
            <family val="2"/>
          </rPr>
          <t xml:space="preserve">Taulukko laskee investoinnin nettonykyarvoja kullekin vuodelle perustuen siihen mennessä toteutuneisiin tulo-  ja menovirtoihin. Kun väri vaihtuu punaisesta vihreäksi, on investointi maksanut itsensä takaisin. Sen jälkeen vihreän väriset arvot kuvaavat investoinnista saatavaa positiivista tuottoa.
Järjestelmän eliniän lopussa eli 30 vuoden kohdalla oleva arvo kertoo koko investoinnin nettonykyarvon. Jos se on positiivinen eli vihreä, on investointi kannattava.
</t>
        </r>
      </text>
    </comment>
    <comment ref="J59" authorId="0" shapeId="0" xr:uid="{422ABD9E-4DB5-420C-AC33-4218B611F523}">
      <text>
        <r>
          <rPr>
            <b/>
            <sz val="9"/>
            <color indexed="81"/>
            <rFont val="Tahoma"/>
            <family val="2"/>
          </rPr>
          <t>Rummukainen Miika:</t>
        </r>
        <r>
          <rPr>
            <sz val="9"/>
            <color indexed="81"/>
            <rFont val="Tahoma"/>
            <family val="2"/>
          </rPr>
          <t xml:space="preserve">
Invertterin vaihto</t>
        </r>
      </text>
    </comment>
    <comment ref="R75" authorId="1" shapeId="0" xr:uid="{6B52A2F2-3171-49DC-AE94-9D259C1E4A64}">
      <text>
        <r>
          <rPr>
            <sz val="12"/>
            <color rgb="FF000000"/>
            <rFont val="Calibri"/>
            <family val="2"/>
          </rPr>
          <t xml:space="preserve">Takaisinmaksuaika
</t>
        </r>
      </text>
    </comment>
    <comment ref="E80" authorId="0" shapeId="0" xr:uid="{446E4163-EDF0-424A-95D0-E08EECCAC6DA}">
      <text>
        <r>
          <rPr>
            <b/>
            <sz val="9"/>
            <color indexed="81"/>
            <rFont val="Tahoma"/>
            <family val="2"/>
          </rPr>
          <t>Rummukainen Miika:</t>
        </r>
        <r>
          <rPr>
            <sz val="9"/>
            <color indexed="81"/>
            <rFont val="Tahoma"/>
            <family val="2"/>
          </rPr>
          <t xml:space="preserve">
Investointiin sidotun pääoman tuotto (tai tuotto-odotus).
Tuottoprosentti, kun tarkastellaan investointia käyttöiän jaksolla.</t>
        </r>
      </text>
    </comment>
    <comment ref="D87" authorId="0" shapeId="0" xr:uid="{625C05ED-B9B7-4279-912E-809C7B5867ED}">
      <text>
        <r>
          <rPr>
            <b/>
            <sz val="9"/>
            <color indexed="81"/>
            <rFont val="Tahoma"/>
            <family val="2"/>
          </rPr>
          <t>Rummukainen Miika:</t>
        </r>
        <r>
          <rPr>
            <sz val="9"/>
            <color indexed="81"/>
            <rFont val="Tahoma"/>
            <family val="2"/>
          </rPr>
          <t xml:space="preserve">
Suomen keskimääräinen ostosähkö</t>
        </r>
      </text>
    </comment>
    <comment ref="D88" authorId="0" shapeId="0" xr:uid="{6FCA78B1-4B0F-424D-ADEA-DF326CDC5963}">
      <text>
        <r>
          <rPr>
            <b/>
            <sz val="9"/>
            <color indexed="81"/>
            <rFont val="Tahoma"/>
            <family val="2"/>
          </rPr>
          <t>Rummukainen Miika:</t>
        </r>
        <r>
          <rPr>
            <sz val="9"/>
            <color indexed="81"/>
            <rFont val="Tahoma"/>
            <family val="2"/>
          </rPr>
          <t xml:space="preserve">
Kaukolämmön yhteistuotanto. Tarkista omalta energiatoimittajalta!</t>
        </r>
      </text>
    </comment>
    <comment ref="D89" authorId="0" shapeId="0" xr:uid="{824D702C-C272-470D-A625-D3D1FF82B19B}">
      <text>
        <r>
          <rPr>
            <b/>
            <sz val="9"/>
            <color indexed="81"/>
            <rFont val="Tahoma"/>
            <family val="2"/>
          </rPr>
          <t>Rummukainen Miika:</t>
        </r>
        <r>
          <rPr>
            <sz val="9"/>
            <color indexed="81"/>
            <rFont val="Tahoma"/>
            <family val="2"/>
          </rPr>
          <t xml:space="preserve">
Kevyt polttoöljy,
lämpöarvo 11,85 kWh/l</t>
        </r>
      </text>
    </comment>
    <comment ref="D90" authorId="0" shapeId="0" xr:uid="{A386EA75-05EF-4927-A619-38E34FECE762}">
      <text>
        <r>
          <rPr>
            <b/>
            <sz val="9"/>
            <color indexed="81"/>
            <rFont val="Tahoma"/>
            <family val="2"/>
          </rPr>
          <t>Rummukainen Miika:</t>
        </r>
        <r>
          <rPr>
            <sz val="9"/>
            <color indexed="81"/>
            <rFont val="Tahoma"/>
            <family val="2"/>
          </rPr>
          <t xml:space="preserve">
Säästetty energiamäärä x päästökerroin</t>
        </r>
      </text>
    </comment>
    <comment ref="D91" authorId="0" shapeId="0" xr:uid="{72EFD686-A0FF-4E32-8ED1-0267A601A931}">
      <text>
        <r>
          <rPr>
            <b/>
            <sz val="9"/>
            <color indexed="81"/>
            <rFont val="Tahoma"/>
            <family val="2"/>
          </rPr>
          <t>Rummukainen Miika:</t>
        </r>
        <r>
          <rPr>
            <sz val="9"/>
            <color indexed="81"/>
            <rFont val="Tahoma"/>
            <family val="2"/>
          </rPr>
          <t xml:space="preserve">
Säästetty energiamäärä x päästökerroin</t>
        </r>
      </text>
    </comment>
    <comment ref="D101" authorId="1" shapeId="0" xr:uid="{03F43411-24BC-45D7-91C7-DB18100EB709}">
      <text>
        <r>
          <rPr>
            <sz val="12"/>
            <color rgb="FF000000"/>
            <rFont val="Calibri"/>
            <family val="2"/>
          </rPr>
          <t>Paikkakohtaiset tiedot PVGIS-järjestelmästä http://re.jrc.ec.europa.eu/pvgis/apps4/pvest.php tai Solar Electricity handbookista http://solarelectricityhandbook.com/solar-irradiance.html</t>
        </r>
      </text>
    </comment>
    <comment ref="H101" authorId="1" shapeId="0" xr:uid="{0C464E2C-DA40-4DC5-BD92-94B86CF8C733}">
      <text>
        <r>
          <rPr>
            <sz val="12"/>
            <color rgb="FF000000"/>
            <rFont val="Calibri"/>
            <family val="2"/>
          </rPr>
          <t xml:space="preserve">Huomaa, että aurinkosähköä tulee vain valoisalla eikä pimeällä. Näin ollen omaan käyttöön saa todellisuudessa vain sen aurinkosähkön, jonka pystyy itse kuluttamaan valoisaan aikaan. Tämä karkea suuntaa-antava laskuri olettaa, että kaiken aurinkosähkön saa hyödynnettyä itse kunhan vain tuotanto alittaa oman kulutuksen. Tämä ei luonnollisestikaan pidä paikkaansa, vaan optimaalisessa mitoituksessa tulee huomioda vuorokausikohtainen sähkön tuotannon ja kulutuksen suhde.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Rummukainen Miika</author>
    <author/>
  </authors>
  <commentList>
    <comment ref="F29" authorId="0" shapeId="0" xr:uid="{37E8F291-0101-4828-9430-015DAC5CDA81}">
      <text>
        <r>
          <rPr>
            <b/>
            <sz val="9"/>
            <color indexed="81"/>
            <rFont val="Tahoma"/>
            <family val="2"/>
          </rPr>
          <t>Rummukainen Miika:</t>
        </r>
        <r>
          <rPr>
            <sz val="9"/>
            <color indexed="81"/>
            <rFont val="Tahoma"/>
            <family val="2"/>
          </rPr>
          <t xml:space="preserve">
Kotitalousvähennys vero.fi:
Esim. 2020: 2250€ asennustyön maks.vähennysmäärä, 40% työkorvauksesta, 100€ omavastuuosuus, 3kW järjestelmässä asennusosuus tyypillisesti 1500-2000 € (vähennys luokkaa 500-700 €).
ARA energia-avustus:
Kun e-luvun parannusehto tai avustuksen saamisen taso täyttyy (esim. korjausten jälkeinen E-luku on enintään 0,56 (hlöasiakkaat!) / 0,64 (rivitalot) / 0,68 (kerrostalot) x rakentamisvuoden E-luku, enint. 4000 € per asunto), niin e 
 Business Finland energiatuki https://www.businessfinland.fi/energiatuki/ : 
Energiatukea eivät saa: asunto-osakeyhtiöt, asuinkiinteistöt, maatilat, ...
Lämpöpumppuhankkeet * 15 %
Aurinkosähköhankkeet 1.5.2019 alkaen 20 %
Uuden teknologian hankkeet enintään 40%</t>
        </r>
      </text>
    </comment>
    <comment ref="F33" authorId="0" shapeId="0" xr:uid="{D6F09BC8-FF32-4E7B-99C2-4507312EFF81}">
      <text>
        <r>
          <rPr>
            <b/>
            <sz val="9"/>
            <color indexed="81"/>
            <rFont val="Tahoma"/>
            <family val="2"/>
          </rPr>
          <t>Rummukainen Miika:</t>
        </r>
        <r>
          <rPr>
            <sz val="9"/>
            <color indexed="81"/>
            <rFont val="Tahoma"/>
            <family val="2"/>
          </rPr>
          <t xml:space="preserve">
Max. Laina-aika 20 vuotta.
</t>
        </r>
      </text>
    </comment>
    <comment ref="Q43" authorId="1" shapeId="0" xr:uid="{88EA4D6A-E970-4186-B33A-5EDC9B6A54EF}">
      <text>
        <r>
          <rPr>
            <sz val="12"/>
            <color rgb="FF000000"/>
            <rFont val="Calibri"/>
            <family val="2"/>
          </rPr>
          <t xml:space="preserve">Taulukko laskee investoinnin nettonykyarvoja kullekin vuodelle perustuen siihen mennessä toteutuneisiin tulo-  ja menovirtoihin. Kun väri vaihtuu punaisesta vihreäksi, on investointi maksanut itsensä takaisin. Sen jälkeen vihreän väriset arvot kuvaavat investoinnista saatavaa positiivista tuottoa.
Järjestelmän eliniän lopussa eli 30 vuoden kohdalla oleva arvo kertoo koko investoinnin nettonykyarvon. Jos se on positiivinen eli vihreä, on investointi kannattava.
</t>
        </r>
      </text>
    </comment>
    <comment ref="J59" authorId="0" shapeId="0" xr:uid="{D3BE0CC6-8698-41CF-AA44-80C650A3F40A}">
      <text>
        <r>
          <rPr>
            <b/>
            <sz val="9"/>
            <color indexed="81"/>
            <rFont val="Tahoma"/>
            <family val="2"/>
          </rPr>
          <t>Rummukainen Miika:</t>
        </r>
        <r>
          <rPr>
            <sz val="9"/>
            <color indexed="81"/>
            <rFont val="Tahoma"/>
            <family val="2"/>
          </rPr>
          <t xml:space="preserve">
Invertterin vaihto</t>
        </r>
      </text>
    </comment>
    <comment ref="R75" authorId="1" shapeId="0" xr:uid="{FFD959E8-6768-4825-9423-7A05825CF007}">
      <text>
        <r>
          <rPr>
            <sz val="12"/>
            <color rgb="FF000000"/>
            <rFont val="Calibri"/>
            <family val="2"/>
          </rPr>
          <t xml:space="preserve">Takaisinmaksuaika
</t>
        </r>
      </text>
    </comment>
    <comment ref="E80" authorId="0" shapeId="0" xr:uid="{00D51EDD-E73A-497D-8D68-3298CBAFE09C}">
      <text>
        <r>
          <rPr>
            <b/>
            <sz val="9"/>
            <color indexed="81"/>
            <rFont val="Tahoma"/>
            <family val="2"/>
          </rPr>
          <t>Rummukainen Miika:</t>
        </r>
        <r>
          <rPr>
            <sz val="9"/>
            <color indexed="81"/>
            <rFont val="Tahoma"/>
            <family val="2"/>
          </rPr>
          <t xml:space="preserve">
Investointiin sidotun pääoman tuotto (tai tuotto-odotus).
Tuottoprosentti, kun tarkastellaan investointia käyttöiän jaksolla.</t>
        </r>
      </text>
    </comment>
    <comment ref="D87" authorId="0" shapeId="0" xr:uid="{FE9BF8E2-31FB-4F84-A98E-7F0C4191A588}">
      <text>
        <r>
          <rPr>
            <b/>
            <sz val="9"/>
            <color indexed="81"/>
            <rFont val="Tahoma"/>
            <family val="2"/>
          </rPr>
          <t>Rummukainen Miika:</t>
        </r>
        <r>
          <rPr>
            <sz val="9"/>
            <color indexed="81"/>
            <rFont val="Tahoma"/>
            <family val="2"/>
          </rPr>
          <t xml:space="preserve">
Suomen keskimääräinen ostosähkö</t>
        </r>
      </text>
    </comment>
    <comment ref="D88" authorId="0" shapeId="0" xr:uid="{B05558B0-D5A8-41BC-9559-697200FBDA73}">
      <text>
        <r>
          <rPr>
            <b/>
            <sz val="9"/>
            <color indexed="81"/>
            <rFont val="Tahoma"/>
            <family val="2"/>
          </rPr>
          <t>Rummukainen Miika:</t>
        </r>
        <r>
          <rPr>
            <sz val="9"/>
            <color indexed="81"/>
            <rFont val="Tahoma"/>
            <family val="2"/>
          </rPr>
          <t xml:space="preserve">
Kaukolämmön yhteistuotanto. Tarkista omalta energiatoimittajalta!</t>
        </r>
      </text>
    </comment>
    <comment ref="D89" authorId="0" shapeId="0" xr:uid="{B7FBAD4D-D03E-441F-9DEC-71F6B42F6B95}">
      <text>
        <r>
          <rPr>
            <b/>
            <sz val="9"/>
            <color indexed="81"/>
            <rFont val="Tahoma"/>
            <family val="2"/>
          </rPr>
          <t>Rummukainen Miika:</t>
        </r>
        <r>
          <rPr>
            <sz val="9"/>
            <color indexed="81"/>
            <rFont val="Tahoma"/>
            <family val="2"/>
          </rPr>
          <t xml:space="preserve">
Kevyt polttoöljy,
lämpöarvo 11,85 kWh/l</t>
        </r>
      </text>
    </comment>
    <comment ref="D90" authorId="0" shapeId="0" xr:uid="{DF879162-318C-4384-8908-212408EBCCA7}">
      <text>
        <r>
          <rPr>
            <b/>
            <sz val="9"/>
            <color indexed="81"/>
            <rFont val="Tahoma"/>
            <family val="2"/>
          </rPr>
          <t>Rummukainen Miika:</t>
        </r>
        <r>
          <rPr>
            <sz val="9"/>
            <color indexed="81"/>
            <rFont val="Tahoma"/>
            <family val="2"/>
          </rPr>
          <t xml:space="preserve">
Säästetty energiamäärä x päästökerroin</t>
        </r>
      </text>
    </comment>
    <comment ref="D91" authorId="0" shapeId="0" xr:uid="{52BE3115-8070-433F-BD49-045377BA29E7}">
      <text>
        <r>
          <rPr>
            <b/>
            <sz val="9"/>
            <color indexed="81"/>
            <rFont val="Tahoma"/>
            <family val="2"/>
          </rPr>
          <t>Rummukainen Miika:</t>
        </r>
        <r>
          <rPr>
            <sz val="9"/>
            <color indexed="81"/>
            <rFont val="Tahoma"/>
            <family val="2"/>
          </rPr>
          <t xml:space="preserve">
Säästetty energiamäärä x päästökerroin</t>
        </r>
      </text>
    </comment>
    <comment ref="D101" authorId="1" shapeId="0" xr:uid="{4EBA7361-4FDE-4081-A061-D050D5E7BBD2}">
      <text>
        <r>
          <rPr>
            <sz val="12"/>
            <color rgb="FF000000"/>
            <rFont val="Calibri"/>
            <family val="2"/>
          </rPr>
          <t>Paikkakohtaiset tiedot PVGIS-järjestelmästä http://re.jrc.ec.europa.eu/pvgis/apps4/pvest.php tai Solar Electricity handbookista http://solarelectricityhandbook.com/solar-irradiance.html</t>
        </r>
      </text>
    </comment>
    <comment ref="H101" authorId="1" shapeId="0" xr:uid="{B6671C57-D449-492E-8063-D93FE009C046}">
      <text>
        <r>
          <rPr>
            <sz val="12"/>
            <color rgb="FF000000"/>
            <rFont val="Calibri"/>
            <family val="2"/>
          </rPr>
          <t xml:space="preserve">Huomaa, että aurinkosähköä tulee vain valoisalla eikä pimeällä. Näin ollen omaan käyttöön saa todellisuudessa vain sen aurinkosähkön, jonka pystyy itse kuluttamaan valoisaan aikaan. Tämä karkea suuntaa-antava laskuri olettaa, että kaiken aurinkosähkön saa hyödynnettyä itse kunhan vain tuotanto alittaa oman kulutuksen. Tämä ei luonnollisestikaan pidä paikkaansa, vaan optimaalisessa mitoituksessa tulee huomioda vuorokausikohtainen sähkön tuotannon ja kulutuksen suhde.
</t>
        </r>
      </text>
    </comment>
  </commentList>
</comments>
</file>

<file path=xl/sharedStrings.xml><?xml version="1.0" encoding="utf-8"?>
<sst xmlns="http://schemas.openxmlformats.org/spreadsheetml/2006/main" count="791" uniqueCount="281">
  <si>
    <t>Aurinkosähköjärjestelmän kannattavuuden laskemiseksi täytä lähtötiedot punaisiin soluihin, jotka ovat välttämättömiä lähtötietoja:</t>
  </si>
  <si>
    <t>Tarkempien ja luotettavampien laskelmien laatimiseksi täytä tiedot myös sinisiin soluihin:</t>
  </si>
  <si>
    <t>Sähköenergian ostohinta</t>
  </si>
  <si>
    <t>snt/kWh</t>
  </si>
  <si>
    <t xml:space="preserve"> </t>
  </si>
  <si>
    <t>Sähkövero ja huoltovarmuusmaksu</t>
  </si>
  <si>
    <t>Lähde:</t>
  </si>
  <si>
    <t>Ostosähkön arvonlisävero</t>
  </si>
  <si>
    <t>%</t>
  </si>
  <si>
    <t>www.energia.fi</t>
  </si>
  <si>
    <t>kWh/v</t>
  </si>
  <si>
    <t xml:space="preserve">Aurinkosähköjärjestelmän koko tehona Wp </t>
  </si>
  <si>
    <t>kWp</t>
  </si>
  <si>
    <t>Välitulos: järjestelmän koko paneelien pinta-alana noin m2</t>
  </si>
  <si>
    <t>neliömetriä</t>
  </si>
  <si>
    <t>euroa</t>
  </si>
  <si>
    <t xml:space="preserve">Välitulos: Järjestelmän vertailuhinta ilman tukia </t>
  </si>
  <si>
    <t>euroa/kWp</t>
  </si>
  <si>
    <t>www.vero.fi</t>
  </si>
  <si>
    <t>www.businessfinland.fi</t>
  </si>
  <si>
    <t>www.ara.fi</t>
  </si>
  <si>
    <t>Oma mainos-, brändi- tai ympäristötuki investoinnille €</t>
  </si>
  <si>
    <t xml:space="preserve">Välitulos: Järjestelmän investointikustannus sisältäen mahdolliset tuet € </t>
  </si>
  <si>
    <t>Investoinnin tuottovaatimus</t>
  </si>
  <si>
    <t>Invertterin vaihdon kustannus, osuus alkuinvestoinnista. Oletettu tapahtuvan kerran aurinkosähköjärjestelmän elinaikana 15. vuotena.</t>
  </si>
  <si>
    <t>kWh/kWp</t>
  </si>
  <si>
    <t>Lähde: Suomen säteilykartta. Saatavissa: http://re.jrc.ec.europa.eu/pvgis/cmaps/eu_cmsaf_opt/G_opt_FI.pdf</t>
  </si>
  <si>
    <t>kWh</t>
  </si>
  <si>
    <t>Aurinkovoimalan vuosittainen sähköntuotannon vähenemä %/v</t>
  </si>
  <si>
    <t>Lähde: Wirth Harry. Recent Facts about Photovoltaics in Germany. 2015. Fraunhofer Institute for Solar Energy Systems ISE. Saatavissa: https://www.ise.fraunhofer.de/en/publications/veroeffentlichungen-pdf-dateien-en/studien-und-konzeptpapiere/recent-facts-about-photovoltaics-in-germany.pdf</t>
  </si>
  <si>
    <t>Järjestelmän elinikä vuosina</t>
  </si>
  <si>
    <t>Kassavirta €/v</t>
  </si>
  <si>
    <t>Investoinnin kumulatiivinen tuotto €/v (0% korko)</t>
  </si>
  <si>
    <t>Investoinnin nettonykyarvoja (NPV) valitulla laskentakorolla</t>
  </si>
  <si>
    <t>YHTEENSÄ</t>
  </si>
  <si>
    <r>
      <rPr>
        <b/>
        <sz val="12"/>
        <color rgb="FF000000"/>
        <rFont val="Calibri"/>
        <family val="2"/>
      </rPr>
      <t>Yhteenveto</t>
    </r>
    <r>
      <rPr>
        <b/>
        <sz val="12"/>
        <color rgb="FF000000"/>
        <rFont val="Calibri"/>
        <family val="2"/>
      </rPr>
      <t>: investoinnin tuotto- ja kannattavuuslaskelmat</t>
    </r>
  </si>
  <si>
    <t>Takaisinmaksuaika laskentakorolla</t>
  </si>
  <si>
    <t>vuotta</t>
  </si>
  <si>
    <t>Investoinnin sisäinen korkokanta käyttöiän aikana</t>
  </si>
  <si>
    <t>Vertaa:</t>
  </si>
  <si>
    <t>Aurinkosähkön omakustannushinta 30 vuoden pitoajalla</t>
  </si>
  <si>
    <t xml:space="preserve">Arvioitu ostosähkön keskimääräinen hinta 30 vuoden aikana </t>
  </si>
  <si>
    <t xml:space="preserve">snt/kWh </t>
  </si>
  <si>
    <t>Aurinkosähkön käyttö</t>
  </si>
  <si>
    <t xml:space="preserve">Skenaariot: </t>
  </si>
  <si>
    <t>omaan kulutukseen</t>
  </si>
  <si>
    <t>Lämpöpumppujärjestelmän kannattavuuden laskemiseksi ja mitoittamiseksi tarkista ja täytä lähtötiedot punaisiin soluihin, jotka ovat välttämättömiä lähtötietoja:</t>
  </si>
  <si>
    <t>€/MWh</t>
  </si>
  <si>
    <t>Investointituki, % alkuinvestoinnista</t>
  </si>
  <si>
    <t>Oma kiinteistöarvo-, brändi- tai ympäristötuki investoinnille</t>
  </si>
  <si>
    <t>Tarkista ja täytä lähtötiedot punaisiin soluihin!</t>
  </si>
  <si>
    <t>Järjestelmän mitoittamiseksi täytä tarkemmat tiedot sinisiin soluihin!</t>
  </si>
  <si>
    <t>Täytä kohteen kk-kohtainen lämmön-kulutus kWh</t>
  </si>
  <si>
    <t>Lämmön-lähteen hinta €/MWh</t>
  </si>
  <si>
    <t>Ylijäämä-lämmön myyntihinta €/MWh</t>
  </si>
  <si>
    <t>Lämpö-pumpun tuotanto kWh</t>
  </si>
  <si>
    <t>Lämmön ylijäämä tai myyntiin menevä määrä kWh</t>
  </si>
  <si>
    <t>Lämpöä omaan käyttöön kWh</t>
  </si>
  <si>
    <t>Lämmön oman käytön arvo €</t>
  </si>
  <si>
    <t>Lämmön myynti-tulot tai ylijäämän arvo €</t>
  </si>
  <si>
    <t>Muun lämmön osto- tai tuotantotarve kWh</t>
  </si>
  <si>
    <t>Muun sähkön osto-tai tuotantotarve kWh /COP</t>
  </si>
  <si>
    <t>Tammikuu</t>
  </si>
  <si>
    <t>Helmikuu</t>
  </si>
  <si>
    <t>Maaliskuu</t>
  </si>
  <si>
    <t>Huhtikuu</t>
  </si>
  <si>
    <t>Toukokuu</t>
  </si>
  <si>
    <t>Kesäkuu</t>
  </si>
  <si>
    <t>Heinäkuu</t>
  </si>
  <si>
    <t>Elokuu</t>
  </si>
  <si>
    <t>Syyskuu</t>
  </si>
  <si>
    <t>Lokakuu</t>
  </si>
  <si>
    <t>Marraskuu</t>
  </si>
  <si>
    <t>Joulukuu</t>
  </si>
  <si>
    <t>YHTEENSÄ VUODESSA</t>
  </si>
  <si>
    <t>VUODESSA KESKIMÄÄRIN</t>
  </si>
  <si>
    <t>Oletusarvoja ja välituloksia:</t>
  </si>
  <si>
    <t>Uuden lämpöjärjestelmän vuosituotto</t>
  </si>
  <si>
    <t>Järjestelmän hyötysuhde</t>
  </si>
  <si>
    <t xml:space="preserve">  </t>
  </si>
  <si>
    <t>Lämmön myynnin tai ylijäämän osuus % vuodessa</t>
  </si>
  <si>
    <t>Kiinteistön lämmmönkulutus yhteensä vuodessa</t>
  </si>
  <si>
    <t xml:space="preserve">kWh </t>
  </si>
  <si>
    <t>Lämpöpumppujärjestelmän vuosittainen energiantuotannon vähenemä %/v</t>
  </si>
  <si>
    <t>Investoinnin käyttöikä (elinkaari)</t>
  </si>
  <si>
    <t>v</t>
  </si>
  <si>
    <t>Lämpöpumppulämmön osuus lämmönkulutuksesta</t>
  </si>
  <si>
    <t>Muun sähkön ostotarve 20 vuoden elinkaaren aikana</t>
  </si>
  <si>
    <t>Kannattavuus</t>
  </si>
  <si>
    <t>Investoinnin nettonykyarvo eli kokonaistuotto tai -tappio käyttöiällä/elinkaari</t>
  </si>
  <si>
    <t xml:space="preserve">Takaisinmaksuaika </t>
  </si>
  <si>
    <t>Päästöarvot</t>
  </si>
  <si>
    <t>Korvattavan ostoenergian päästökerroin (sähkö)</t>
  </si>
  <si>
    <t>gCO2/kWh</t>
  </si>
  <si>
    <t>www.ilmastolaskuri.fi</t>
  </si>
  <si>
    <t>Korvattavan ostoenergian päästökerroin (kaukolämpö)</t>
  </si>
  <si>
    <t>Korvattavan ostoenergian päästökerroin (polttoöljy)</t>
  </si>
  <si>
    <t>Päästövähennys per vuosi</t>
  </si>
  <si>
    <t>kgCO2/v</t>
  </si>
  <si>
    <t>Lämmön tuotto- ja talouslaskelmat elinkaaren aikana</t>
  </si>
  <si>
    <t>Oman lämmöntuotannon arvo ja myyntituotot €</t>
  </si>
  <si>
    <t>Takaisinmaksu-aika (sis. laskentakorko)</t>
  </si>
  <si>
    <t>Vaihtoehtoisen lämmön hinta €/MWh</t>
  </si>
  <si>
    <t>Myyntiin menevän ylijäämälämmön hinta €/MWh</t>
  </si>
  <si>
    <t>Hyödynnettävissä oleva energian tuotanto kWh (käyttö+myynti)</t>
  </si>
  <si>
    <t>Uuden järjestelmän kumulatiivinen kulu</t>
  </si>
  <si>
    <t>Lämmön käyttö</t>
  </si>
  <si>
    <t>Takaisinmaksuaika (tarkennettu)</t>
  </si>
  <si>
    <t>Muun lämmön ostotarve 20 vuoden elinkaaren aikana</t>
  </si>
  <si>
    <t>[Kohteen] energiajärjestelmien taloudelliset kannattavuuslaskelmat</t>
  </si>
  <si>
    <t>Korvattavan energian kulutus kohteessa vuodessa</t>
  </si>
  <si>
    <t>Tiedot järjestelmän asennuskohteesta ja vertailukustannuksista:</t>
  </si>
  <si>
    <t>Tiedot hankittavasta järjestelmästä ja sen investointikustannuksista:</t>
  </si>
  <si>
    <t xml:space="preserve">Arvio ostoenergian hinnan noususta % per vuosi </t>
  </si>
  <si>
    <t>Lämpöpumppujärjestelmän koko MW / lämpökerroin / COP / SCOP</t>
  </si>
  <si>
    <t>Laina järjestelmän hankkimiseksi</t>
  </si>
  <si>
    <t>Laina-aika</t>
  </si>
  <si>
    <t>Lainan korkokulu</t>
  </si>
  <si>
    <t>Investoinnin laskentakorko, tuottovaatimus</t>
  </si>
  <si>
    <t>Energian oman käytön osuus</t>
  </si>
  <si>
    <t>Päästövähennys per vuosi huomioiden mahd. sähkönkulutuksen muutos</t>
  </si>
  <si>
    <t>Järjestelmän sähkönkulutuksen muutoksen hinta per vuosi</t>
  </si>
  <si>
    <t>Järjestelmän päästövähennys vuodessa, kgCO2/v</t>
  </si>
  <si>
    <t>Huom!</t>
  </si>
  <si>
    <t>Tervetuloa käyttämään laskuria!</t>
  </si>
  <si>
    <t>Laskuri on Suomen ympäristökeskuksen (SYKE) kehittämä työkalu uusiutuvan energian järjestelmien laskemiseen.</t>
  </si>
  <si>
    <t>Laskurin lähteenä on käytetty www.finsolar.net hankkeessa kehitettyjä työkaluja.</t>
  </si>
  <si>
    <t xml:space="preserve">Laskuri on jaettu eri välilehdille järjestelmätyypeittäin. Kussakin on ohjeita/muistiinpanoja/lähteitä välilehden täyttämiseksi. Välilehdellä "Kohteen järjes. kannattavuus" laskuri kokoaa yhteen tuloksia. </t>
  </si>
  <si>
    <t>Versio</t>
  </si>
  <si>
    <t>Päiväys</t>
  </si>
  <si>
    <t>Järjestelmän kannattavuuden laskemiseksi ja mitoittamiseksi välttämättömiä lähtötietoja, tarkista ja täytä lähtötiedot punaisiin soluihin.</t>
  </si>
  <si>
    <t>Uuden järjestelmän vuosituotanto</t>
  </si>
  <si>
    <t>Laskuri on muokattu vuoden 2020 alkupuolella SYKEn työntekijöiden, Miika Rummukaisen ja Karoliina Auvisen toimesta SYKEn hankkeissa.</t>
  </si>
  <si>
    <t>[Kohteen tyyppitiedot]: Lähde:</t>
  </si>
  <si>
    <t>https://www.motiva.fi/files/17067/Pitkan_aikavalin_korjausrakentamisen_strategia_2020-2050.pdf</t>
  </si>
  <si>
    <t>Investoinnin nettonykyarvo eli kokonaistuotto tai -tappio käyttöiällä</t>
  </si>
  <si>
    <t>Sisäinen korkokanta käyttöiän aikana</t>
  </si>
  <si>
    <t>Kulutuksen korjaus huomioiden mahdollisen hyötysuhteen</t>
  </si>
  <si>
    <t>Korvattavan energian korjattu kulutus, esim öljylämmitys</t>
  </si>
  <si>
    <t>Yhtiövastikkeita maksavien asuntojen määrä (vain tayt)</t>
  </si>
  <si>
    <t>Muun lämmönkulutuksen hinta per vuosi</t>
  </si>
  <si>
    <t>Järjestelmän pitoaika vuosina</t>
  </si>
  <si>
    <t>Nykyjärjestelmän kustannukset: Energian hinta</t>
  </si>
  <si>
    <t>Nykyjärjestelmän kustannukset: Ylläpito- ja huolto</t>
  </si>
  <si>
    <t>Nykyjärjestelmän kustannukset: Yhteensä</t>
  </si>
  <si>
    <t>Investoinnin kertamaksu tai lainaerät</t>
  </si>
  <si>
    <t>Rahoituksen korkokulut €/v</t>
  </si>
  <si>
    <t>Lainasaldo</t>
  </si>
  <si>
    <t>Käsiraha, jos laina ei mitoitettu koko investoinnille</t>
  </si>
  <si>
    <t>Ylläpito- ja huoltokulut eur/v</t>
  </si>
  <si>
    <t>Uuden järjestelmän kustannukset: Yhteensä</t>
  </si>
  <si>
    <t>Nykyjärjestelmän kumulatiivinen kulu</t>
  </si>
  <si>
    <t>Hyödynnettävän lämpöpumppulämmön tuotantohinta elinkaaren ajalla</t>
  </si>
  <si>
    <t>Lisenssi: CC 4.0</t>
  </si>
  <si>
    <t>Tiedot kiinteistön ostosähkön kustannuksista (aurinkosähköjärjestelmän vertailukustannukset):</t>
  </si>
  <si>
    <t>Vinkki: katso hinta sähkölaskusta</t>
  </si>
  <si>
    <t>Energiaperusteinen sähkön siirtohinta</t>
  </si>
  <si>
    <t>Vinkki: katso hinta sähkön siirtolaskusta</t>
  </si>
  <si>
    <t>Lähde:https://www.vero.fi/yritykset-ja-yhteisot/tietoa-yritysverotuksesta/valmisteverotus/sahko_ja_eraat_polttoaineet/sahkon_ja_eraiden_polttoaineiden_verota/</t>
  </si>
  <si>
    <t>Välitulos: aurinkosähkön vertailuhinta eli aurinkosähkön vaihtoehtoiskustannus</t>
  </si>
  <si>
    <t>Arvio ostosähkön hinnan noususta %/v</t>
  </si>
  <si>
    <t>/vuosi</t>
  </si>
  <si>
    <t>Lähde: https://energiavirasto.fi/sahkon-hintatilastot; http://www.stat.fi/til/ehi/2019/03/ehi_2019_03_2019-12-11_tie_001_fi.html</t>
  </si>
  <si>
    <t>Korvattavan energian kulutus kohteessa vuoddessa</t>
  </si>
  <si>
    <t>Tiedot hankittavasta aurinkosähköjärjestelmästä:</t>
  </si>
  <si>
    <t xml:space="preserve">Aurinkosähköjärjestelmän koko tehona kWp </t>
  </si>
  <si>
    <t>Aurinkosähkön vuosituotto järjestelmän sijainnin mukaan</t>
  </si>
  <si>
    <t>Välitulos: aurinkosähköjärjestelmän vuosituotto alussa</t>
  </si>
  <si>
    <t>Huom. Taloudellisesti kannattavan aurinkosähköjärjestelmän mitoituksessä on tärkeää, että ylijäämän osuus on mahdollisimman alhainen</t>
  </si>
  <si>
    <t>Aurinkosähkön ylijäämän myyntihinta verkkoon snt/kWh</t>
  </si>
  <si>
    <t>Yleensä välillä 2-6 snt/kWh riippuen sähköyhtiöstä</t>
  </si>
  <si>
    <t>Tiedot aurinkosähköjärjestelmän hankinta-, ylläpito- sekä rahoituskustannuksista:</t>
  </si>
  <si>
    <t>Aurinkosähköjärjestelmän avaimet käteen -investointikustannus € (laitteet ja asennus)</t>
  </si>
  <si>
    <t>Mahdollinen investointituki, kotitalousvähennys tms. alkuinvestoinnista, %</t>
  </si>
  <si>
    <t>Lainan tai ulkopuolisen rahoituksen määrä</t>
  </si>
  <si>
    <t>Laina-aika tai rahoitussopimuksen pituus</t>
  </si>
  <si>
    <t>Lainan tai rahoituksen korko</t>
  </si>
  <si>
    <t>Välitulos: Lainan tai ulkopuolisen rahoituksen maksuerät/vuosi</t>
  </si>
  <si>
    <t>euroa/vuotta</t>
  </si>
  <si>
    <t>Tuottovaatimus ei ole tässä tapauksessa relevantti, koska investoinnilla vähennetään juoksevia kuluja, jotka eivät ole muutoin vältettävissä</t>
  </si>
  <si>
    <t xml:space="preserve">Yleensä 6-10% alkuinvestoinnista riippuen järjestelmän koosta: pienissä järjestelmissä osuus on suurempi ja suurissa järjestelmissä pienempi. </t>
  </si>
  <si>
    <t>Aurinkosähkön kustannus- ja tuottolaskelmat järjestelmän elinkaaren aikana:</t>
  </si>
  <si>
    <t>Aurinkosähköjärjestelmän pitoaika ja tuotanto</t>
  </si>
  <si>
    <t>Aurinkosähkön vertailukustannukset</t>
  </si>
  <si>
    <t>Aurinkosähkön tuotantokustannukset</t>
  </si>
  <si>
    <t>Aurinkosähkön ylijäämän myynti</t>
  </si>
  <si>
    <t>Aurinkosähkön tuotto- ja talouslaskelmat</t>
  </si>
  <si>
    <t>Aurinko- sähkön tuotanto kWh/v</t>
  </si>
  <si>
    <t>Ostosähkön hankinta- kustannus eur/kWh</t>
  </si>
  <si>
    <t>Aurinkosähkön tuotantoa vastaavan ostosähkön arvo eur/v</t>
  </si>
  <si>
    <t>Investoinnin kertamaksu tai lainaerät €/v</t>
  </si>
  <si>
    <t>Rahoituksen korkokulut eur/v</t>
  </si>
  <si>
    <t>Aurinkosähkön kustannukset yhteensä eur/v</t>
  </si>
  <si>
    <t>Aurinkosähkön ylijäämän myyntihinta eur/kWh</t>
  </si>
  <si>
    <t>Aurinkosähkön ylijäämän myyntituotot eur/v</t>
  </si>
  <si>
    <t>Aurinkosähkön tuotannon arvo yhteensä eur/v</t>
  </si>
  <si>
    <t>Kassavirta eu/v</t>
  </si>
  <si>
    <t>Investoinnin kumulatiivinen tuotto eur/v</t>
  </si>
  <si>
    <t>Investoinnin nettonykyarvoja (NPV) laskentakorolla eur/v</t>
  </si>
  <si>
    <t>Takaisinmaksu- vuodet</t>
  </si>
  <si>
    <t>Investoinnin nettonykyarvo 30 vuoden käyttöiällä</t>
  </si>
  <si>
    <t>Kiinteistön aurinkosähköjärjestelmän mitoituksen arvioimiseksi täytä lähtötiedot punaisiin soluihin:</t>
  </si>
  <si>
    <t>Wp</t>
  </si>
  <si>
    <t>Vinkki: säädä koko sellaiseksi, että järjestelmästä syntyy mahdollisimman vähän ylijäämää</t>
  </si>
  <si>
    <r>
      <t xml:space="preserve">Aurinkosähköjärjestelmän hyötysuhde </t>
    </r>
    <r>
      <rPr>
        <sz val="12"/>
        <color rgb="FF000000"/>
        <rFont val="Calibri"/>
        <family val="2"/>
      </rPr>
      <t xml:space="preserve">% </t>
    </r>
    <r>
      <rPr>
        <sz val="12"/>
        <color rgb="FF000000"/>
        <rFont val="Calibri"/>
        <family val="2"/>
      </rPr>
      <t>(suhde, jolla säteilymäärä saadaan talteen)</t>
    </r>
  </si>
  <si>
    <t>Kiinteistön vuorokausikohtaisesta sähkönkulutuksesta maksimiosuus, jonka voi tuottaa omalla aurinkosähköllä %</t>
  </si>
  <si>
    <t xml:space="preserve">Vinkki: Jos esimerkiksi heinäkuussa yhden vuorokauden aikana sähköä kuluu tasaisesti 10 kWh tunnissa eli yhteensä 240 kWh/vrk, niin karkeasti arvioiden aurinkosähköllä voi kiinteistön sähkönkulutuksen määrästä kattaa valoisaan aikaan maksimissaan noin puolet edellyttäen että järjestelmän tuotto kattaisi valoisaan aikaan sähkönkulutuksen kokonaan. </t>
  </si>
  <si>
    <t>Järjestelmän koko paneelien pinta-alana m2</t>
  </si>
  <si>
    <t>Kuukaudet</t>
  </si>
  <si>
    <t>Päivien määrä kuukaudessa</t>
  </si>
  <si>
    <t>Kiinteistön kuukausikohtainen sähkönkulutus kWh/kk</t>
  </si>
  <si>
    <t>Auringon säteily kWh/m2/pv sijainnin mukaan</t>
  </si>
  <si>
    <t xml:space="preserve"> Sähkön ostohinta €/MWh/kk</t>
  </si>
  <si>
    <t>Aurinkosähkön ylijäämän myyntihinta €/MWh/kk</t>
  </si>
  <si>
    <t>Aurinkosähkön tuotanto kWh/kk</t>
  </si>
  <si>
    <t>Aurinkosähköä omaan käyttöön kWh</t>
  </si>
  <si>
    <t>Aurinkosähköä myyntiin kWh</t>
  </si>
  <si>
    <t>Sähkön ostotarve kWh</t>
  </si>
  <si>
    <t>Omaan käyttöön tuotetun aurinkosähkön arvo €</t>
  </si>
  <si>
    <t>Sähkön myyntitulot €</t>
  </si>
  <si>
    <t>Yhteensä</t>
  </si>
  <si>
    <t>Aurinkosähköjärjestelmän vuosituotto</t>
  </si>
  <si>
    <t>Aurinkosähkön myynnin tai ylijäämän osuus % vuodessa</t>
  </si>
  <si>
    <t xml:space="preserve">Kannattavuuslaskurin v1.0  tekijät: Juntunen Jouni, Jalas Mikko ja Auvinen Karoliina. 2015. FinSolar-hanke, Aalto-yliopisto. </t>
  </si>
  <si>
    <t>Kannattavuuslaskurin v1.1 tekijät: Auvinen Karoliina ja Rummukainen Miika. 2020. Canemure-hanke, Suomen ympäristökeskus SYKE.</t>
  </si>
  <si>
    <t>Aurinkosähkön ylijäämän osuus % vuosituotannosta, oletettu</t>
  </si>
  <si>
    <t>kiinteistösähkö ja huoneistojen sähkö</t>
  </si>
  <si>
    <t>Yhteyshenkilö laskuria koskien: Miika Rummukainen, miika.rummukainen@ymparisto.fi</t>
  </si>
  <si>
    <t>Huom. kannattavuuslaskelmissa mahdollinen ylijäämäsähkön hinta, aurinkosähkön tuotantotuki, pientuotannon siirtomaksu käsittely.</t>
  </si>
  <si>
    <t>Järjestelmän päästövähennys vuodessa (päästökertoimet v. 2019), kgCO2/v</t>
  </si>
  <si>
    <r>
      <t xml:space="preserve">Järjestelmän kustannus tukien ja omien arvojen jälkeen. </t>
    </r>
    <r>
      <rPr>
        <sz val="11"/>
        <color rgb="FFFF0000"/>
        <rFont val="Calibri"/>
        <family val="2"/>
        <scheme val="minor"/>
      </rPr>
      <t>Huom! Valitse muistiinpanosta tukikaava!</t>
    </r>
  </si>
  <si>
    <t>Vuotuiset ylläpitokulut (vakuutukset, huolto tms. kulut)</t>
  </si>
  <si>
    <t>Ohje: Investointikustannus alla olevan taulukon solussa E46 (ks alla).</t>
  </si>
  <si>
    <t>Ohje: Investointikustannus yllä olevan taulukon solussa F38 (ks yllä).</t>
  </si>
  <si>
    <t>Kokemuksia, vertailutietoja esim.:</t>
  </si>
  <si>
    <t>Järjestelmän todellinen koko laskurissa, % tai kW</t>
  </si>
  <si>
    <t>Aurinkosähköjärjestelmän koko, 10 - 15 - 20% tai kW</t>
  </si>
  <si>
    <t>Huom. laskelmissa aurinkosähkö tulee pääasiallisesti omaan käyttöön, joten oletuksena on, että vaihtoehtoiskustannuksen nousu 0% ja investoinnin korko 0% neutraloivat toisensa.</t>
  </si>
  <si>
    <t>Järjestelmän kannattavuuden laskemiseksi ja mitoittamiseksi välttämättömiä oletustietoja tai tulostietoja, älä muokkaa näitä  mustia soluja!</t>
  </si>
  <si>
    <t>Kustannus-säästö vuodessa, €/v</t>
  </si>
  <si>
    <t>Kannattavuus takaisinmaksu-ajalla mitattuna, vuotta</t>
  </si>
  <si>
    <t>Huom. kannattavuuslaskelmissa ei ole huomioitu inflaatiota, kulutuksen ja tuotannon vuorokausivaihteluja.</t>
  </si>
  <si>
    <t>Huom! Lähtötiedot sähkönkokonaishinta 11,07158 snt/kWh (sis. alv 0 %).</t>
  </si>
  <si>
    <t>Ilmavesilämpöpumppu järjestelmän koko, 30 - 50 - 70% -&gt; 90-95% tai kW</t>
  </si>
  <si>
    <t>Maalämpöpumppu järjestelmän koko, 95-97 % -&gt; 96-98% tai kW</t>
  </si>
  <si>
    <t>0.98</t>
  </si>
  <si>
    <t>Toimitettu HiilineutraaliSuomi -sivustolle esimerkkikohteen tarkentamiseksi.</t>
  </si>
  <si>
    <t>https://www.ymparisto.fi/fi-FI/Rakentaminen/Korjaustieto/Pientalot/Energiatehokkuus/Energiatehokas_pientalo/Energiankulutus</t>
  </si>
  <si>
    <t>[Kohteen tyyppitiedot]: Pientalon energiankulutuksesta lämmitykseen tyyp. 50 (52%), käyttöveteen tyyp. 20% ja sähkönkulutukseen tyyp. 30 (28%), (jäähdytys luokkaa 2%).</t>
  </si>
  <si>
    <t>http://www.ely-keskus.fi/web/ely/oljylammityksen-vaihtajalle</t>
  </si>
  <si>
    <r>
      <t xml:space="preserve">Huom! Voit tehdä omia laskelmia, kun olet ladannut tiedoston omalle koneellesi. Lataa laskentataulukko omaan käyttöösi Excel-tiedostona kohdasta "File" -&gt; "Download as" -&gt; Excel. </t>
    </r>
    <r>
      <rPr>
        <i/>
        <sz val="11"/>
        <color rgb="FF000000"/>
        <rFont val="Arial"/>
        <family val="2"/>
      </rPr>
      <t>Laskentapohjassa on esimerkkinä 3 kW:n aurinkosähköjärjestelmän kannattavuuslaskelmat.</t>
    </r>
  </si>
  <si>
    <r>
      <t xml:space="preserve">Huom! Voit tehdä omia laskelmia, kun olet ladannut tiedoston omalle koneellesi. Lataa laskentataulukko omaan käyttöösi Excel-tiedostona kohdasta "File" -&gt; "Download as" -&gt; Excel. </t>
    </r>
    <r>
      <rPr>
        <i/>
        <sz val="12"/>
        <rFont val="Calibri"/>
        <family val="2"/>
      </rPr>
      <t>Laskentapohjassa on esimerkkinä 5 kW:n aurinkosähköjärjestelmän kannattavuuslaskelmat.</t>
    </r>
  </si>
  <si>
    <t>[Kohde]: Omakotitalo, rakennusvuosi 196., pinta-ala 13. m2.</t>
  </si>
  <si>
    <t>[Kohteen tyyppitiedot]:  Lämmitysenergian kulutus kohteessa 143 … 153 kWh/m2 (omakoti- ja paritalot, 1960-1969, keskikulutus 240 kWh/m2).</t>
  </si>
  <si>
    <t>3 kW, case MLP 96 %</t>
  </si>
  <si>
    <t>5 kW, case MPL 96 %</t>
  </si>
  <si>
    <t>70%: ..., 75%: …</t>
  </si>
  <si>
    <t>96%: ..., 98%: …</t>
  </si>
  <si>
    <t>Sähkönkulutuslisä/v 4 800 kWh</t>
  </si>
  <si>
    <t>Sähkönkulutuslisä/v 4 900 kWh</t>
  </si>
  <si>
    <t>Sähkönkulutuslisä/v 4 480 kWh</t>
  </si>
  <si>
    <t xml:space="preserve">Lähde: </t>
  </si>
  <si>
    <t>Kiinteistön lämpöpumppujärjestelmän kannattavuus- ja mitoituslaskuri (versio 9/2020). Tekijä(t) Miika Rummukainen ja Karoliina Auvinen, Suomen Ympäristökeskus SYKE</t>
  </si>
  <si>
    <t>Kiinteistön aurinkosähköjärjestelmän kannattavuuslaskuri (versio 9/2020)</t>
  </si>
  <si>
    <t>[Kohteen kulutustiedot]: Vuoden 20xx energiankulutus 2000 litra kevyt pö, hinta 1,00-1,10 € per litra (sis. alv 25,5 %) ja 7500 kWh kulutussähkö, hinta 14 snt/kWh (sis. alv 25,5%) .</t>
  </si>
  <si>
    <t>Järjestelmän avaimet käteen hinta, sis alv 25,5%</t>
  </si>
  <si>
    <t>Järjestelmän hinta laskurissa tukien jälkeen, sis alv 25,5%</t>
  </si>
  <si>
    <t>Korvattavan energian kuluttajahinta sis alv 25,5%</t>
  </si>
  <si>
    <t>Järjestelmän investointikustannus (laitteet ja asennus) sis alv 25,5%</t>
  </si>
  <si>
    <t>Lämmön ylijäämätuotannon myyntihinta verkkoon sis alv 25,5%</t>
  </si>
  <si>
    <t>Ylläpito- ja huoltokulut (keskim. vuosikulu elinkaaren aikana) sis alv 25,5%</t>
  </si>
  <si>
    <t>Sähkön ostohinta sis alv 25,5%</t>
  </si>
  <si>
    <t>Yritykset ja kunnat 0%, kuluttajat 25,5%</t>
  </si>
  <si>
    <t>Huom. Yritykset ja kunnat sis ALV 0% ja kuluttajat hinnassa mukana ALV 25,5 %.</t>
  </si>
  <si>
    <t>Rakentamisen päästötietokanta</t>
  </si>
  <si>
    <t>Lisätietoa päästökertoimista</t>
  </si>
  <si>
    <t>https://www.motiva.fi/ratkaisut/energiankaytto_suomessa/co2-paastokertoimet</t>
  </si>
  <si>
    <t xml:space="preserve"> Käyttäjän on tarkistettava ajantasainen tieto tukien ja avustusten voimassaolosta</t>
  </si>
  <si>
    <t>Huom. Energiatuki 20%, Energia-avustus enint. 50%. Käyttäjän on tarkistettava ajantasainen tieto tukien ja avustusten voimassaolosta.</t>
  </si>
  <si>
    <t>Arvonlisäveroprosentit ja päästökertoimet päivitetty 1.11.2024 Jarmo Linjama</t>
  </si>
  <si>
    <t>Maalämpö laski ison paritaloasunnon energiakuluja lähes 3 000 euroa vuodessa – Kestävyysloikka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</si>
</sst>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0\ &quot;€&quot;;[Red]\-#,##0\ &quot;€&quot;"/>
    <numFmt numFmtId="44" formatCode="_-* #,##0.00\ &quot;€&quot;_-;\-* #,##0.00\ &quot;€&quot;_-;_-* &quot;-&quot;??\ &quot;€&quot;_-;_-@_-"/>
    <numFmt numFmtId="164" formatCode="0.0"/>
    <numFmt numFmtId="165" formatCode="#,##0.000"/>
    <numFmt numFmtId="166" formatCode="0.0%"/>
    <numFmt numFmtId="167" formatCode="&quot;€&quot;#,##0"/>
    <numFmt numFmtId="168" formatCode="#,##0\ &quot;€&quot;"/>
    <numFmt numFmtId="169" formatCode="0.0\ %"/>
    <numFmt numFmtId="170" formatCode="#,##0.0\ &quot;€&quot;"/>
    <numFmt numFmtId="171" formatCode="_-* #,##0\ &quot;€&quot;_-;\-* #,##0\ &quot;€&quot;_-;_-* &quot;-&quot;??\ &quot;€&quot;_-;_-@"/>
    <numFmt numFmtId="172" formatCode="#,##0.00\ &quot;€&quot;"/>
    <numFmt numFmtId="173" formatCode="#,##0.0"/>
    <numFmt numFmtId="174" formatCode="&quot;€&quot;#,##0.00"/>
    <numFmt numFmtId="175" formatCode="#,##0_ ;\-#,##0\ "/>
    <numFmt numFmtId="176" formatCode="[$€]#,##0"/>
    <numFmt numFmtId="177" formatCode="[$€]#,##0.0"/>
    <numFmt numFmtId="178" formatCode="0%"/>
    <numFmt numFmtId="179" formatCode="[$€]#,##0.00"/>
    <numFmt numFmtId="180" formatCode="_-* #,##0\ [$€-40B]_-;\-* #,##0\ [$€-40B]_-;_-* &quot;-&quot;??\ [$€-40B]_-;_-@_-"/>
    <numFmt numFmtId="181" formatCode="_-* #,##0\ &quot;€&quot;_-;\-* #,##0\ &quot;€&quot;_-;_-* &quot;-&quot;??\ &quot;€&quot;_-;_-@_-"/>
    <numFmt numFmtId="182" formatCode="#,##0.0\ [$€-42E]"/>
  </numFmts>
  <fonts count="50" x14ac:knownFonts="1">
    <font>
      <sz val="11"/>
      <color theme="1"/>
      <name val="Calibri"/>
      <family val="2"/>
      <scheme val="minor"/>
    </font>
    <font>
      <sz val="11"/>
      <color theme="1"/>
      <name val="Calibri"/>
      <family val="2"/>
      <scheme val="minor"/>
    </font>
    <font>
      <sz val="11"/>
      <color rgb="FF00610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2"/>
      <color rgb="FF000000"/>
      <name val="Calibri"/>
      <family val="2"/>
    </font>
    <font>
      <sz val="12"/>
      <color rgb="FF000000"/>
      <name val="Calibri"/>
      <family val="2"/>
    </font>
    <font>
      <b/>
      <sz val="14"/>
      <color rgb="FF000000"/>
      <name val="Calibri"/>
      <family val="2"/>
    </font>
    <font>
      <b/>
      <sz val="12"/>
      <color rgb="FF000000"/>
      <name val="Calibri"/>
      <family val="2"/>
    </font>
    <font>
      <sz val="12"/>
      <name val="Calibri"/>
      <family val="2"/>
    </font>
    <font>
      <sz val="12"/>
      <color rgb="FFFF0000"/>
      <name val="Calibri"/>
      <family val="2"/>
    </font>
    <font>
      <u/>
      <sz val="12"/>
      <color theme="10"/>
      <name val="Calibri"/>
      <family val="2"/>
    </font>
    <font>
      <i/>
      <sz val="12"/>
      <name val="Calibri"/>
      <family val="2"/>
    </font>
    <font>
      <sz val="12"/>
      <name val="Calibri"/>
      <family val="2"/>
    </font>
    <font>
      <b/>
      <sz val="9"/>
      <color indexed="81"/>
      <name val="Tahoma"/>
      <family val="2"/>
    </font>
    <font>
      <sz val="9"/>
      <color indexed="81"/>
      <name val="Tahoma"/>
      <family val="2"/>
    </font>
    <font>
      <b/>
      <sz val="11"/>
      <color rgb="FFFF0000"/>
      <name val="Calibri"/>
      <family val="2"/>
      <scheme val="minor"/>
    </font>
    <font>
      <b/>
      <sz val="11"/>
      <color rgb="FF0070C0"/>
      <name val="Calibri"/>
      <family val="2"/>
      <scheme val="minor"/>
    </font>
    <font>
      <sz val="12"/>
      <color rgb="FF0070C0"/>
      <name val="Calibri"/>
      <family val="2"/>
    </font>
    <font>
      <b/>
      <sz val="11"/>
      <color rgb="FF000000"/>
      <name val="Calibri"/>
      <family val="2"/>
    </font>
    <font>
      <sz val="12"/>
      <color rgb="FFFF0000"/>
      <name val="Calibri"/>
      <family val="2"/>
    </font>
    <font>
      <b/>
      <sz val="12"/>
      <color rgb="FF000000"/>
      <name val="Calibri"/>
      <family val="2"/>
    </font>
    <font>
      <b/>
      <sz val="12"/>
      <name val="Calibri"/>
      <family val="2"/>
    </font>
    <font>
      <b/>
      <sz val="14"/>
      <color rgb="FF000000"/>
      <name val="Arial"/>
      <family val="2"/>
    </font>
    <font>
      <b/>
      <sz val="11"/>
      <name val="Calibri"/>
      <family val="2"/>
      <scheme val="minor"/>
    </font>
    <font>
      <sz val="12"/>
      <color theme="1"/>
      <name val="Calibri"/>
      <family val="2"/>
      <scheme val="minor"/>
    </font>
    <font>
      <sz val="11"/>
      <name val="Calibri"/>
      <family val="2"/>
      <scheme val="minor"/>
    </font>
    <font>
      <sz val="11"/>
      <color theme="0" tint="-0.499984740745262"/>
      <name val="Calibri"/>
      <family val="2"/>
      <scheme val="minor"/>
    </font>
    <font>
      <sz val="12"/>
      <name val="Calibri"/>
      <family val="2"/>
      <scheme val="minor"/>
    </font>
    <font>
      <i/>
      <sz val="12"/>
      <color rgb="FF000000"/>
      <name val="Calibri"/>
      <family val="2"/>
    </font>
    <font>
      <i/>
      <sz val="12"/>
      <name val="Calibri"/>
      <family val="2"/>
    </font>
    <font>
      <b/>
      <sz val="20"/>
      <color theme="1"/>
      <name val="Calibri"/>
      <family val="2"/>
      <scheme val="minor"/>
    </font>
    <font>
      <i/>
      <sz val="12"/>
      <color rgb="FFFF0000"/>
      <name val="Calibri"/>
      <family val="2"/>
    </font>
    <font>
      <sz val="12"/>
      <color theme="4"/>
      <name val="Calibri"/>
      <family val="2"/>
    </font>
    <font>
      <sz val="12"/>
      <color rgb="FFFF0000"/>
      <name val="Calibri"/>
      <family val="2"/>
      <scheme val="minor"/>
    </font>
    <font>
      <sz val="11"/>
      <name val="Arial"/>
      <family val="2"/>
    </font>
    <font>
      <sz val="11"/>
      <color rgb="FF000000"/>
      <name val="Arial"/>
      <family val="2"/>
    </font>
    <font>
      <b/>
      <sz val="12"/>
      <color rgb="FF000000"/>
      <name val="Arial"/>
      <family val="2"/>
    </font>
    <font>
      <b/>
      <sz val="11"/>
      <color rgb="FF000000"/>
      <name val="Arial"/>
      <family val="2"/>
    </font>
    <font>
      <b/>
      <sz val="11"/>
      <color rgb="FFFF0000"/>
      <name val="Arial"/>
      <family val="2"/>
    </font>
    <font>
      <b/>
      <sz val="11"/>
      <color rgb="FF0000FF"/>
      <name val="Arial"/>
      <family val="2"/>
    </font>
    <font>
      <sz val="11"/>
      <color rgb="FFFF0000"/>
      <name val="Arial"/>
      <family val="2"/>
    </font>
    <font>
      <sz val="11"/>
      <color rgb="FF0000FF"/>
      <name val="Arial"/>
      <family val="2"/>
    </font>
    <font>
      <i/>
      <sz val="11"/>
      <color rgb="FF000000"/>
      <name val="Arial"/>
      <family val="2"/>
    </font>
    <font>
      <b/>
      <sz val="11"/>
      <name val="Arial"/>
      <family val="2"/>
    </font>
    <font>
      <sz val="11"/>
      <color rgb="FF3366FF"/>
      <name val="Arial"/>
      <family val="2"/>
    </font>
    <font>
      <i/>
      <sz val="11"/>
      <name val="Arial"/>
      <family val="2"/>
    </font>
    <font>
      <sz val="12"/>
      <color theme="4"/>
      <name val="Calibri"/>
      <family val="2"/>
      <scheme val="minor"/>
    </font>
    <font>
      <b/>
      <u/>
      <sz val="12"/>
      <color rgb="FF000000"/>
      <name val="Calibri"/>
      <family val="2"/>
    </font>
  </fonts>
  <fills count="22">
    <fill>
      <patternFill patternType="none"/>
    </fill>
    <fill>
      <patternFill patternType="gray125"/>
    </fill>
    <fill>
      <patternFill patternType="solid">
        <fgColor rgb="FFC6EFCE"/>
      </patternFill>
    </fill>
    <fill>
      <patternFill patternType="solid">
        <fgColor theme="0"/>
        <bgColor rgb="FFFFFF00"/>
      </patternFill>
    </fill>
    <fill>
      <patternFill patternType="solid">
        <fgColor rgb="FFFFFFFF"/>
        <bgColor rgb="FFFFFFFF"/>
      </patternFill>
    </fill>
    <fill>
      <patternFill patternType="solid">
        <fgColor rgb="FFFFFF00"/>
        <bgColor rgb="FFFFFF00"/>
      </patternFill>
    </fill>
    <fill>
      <patternFill patternType="solid">
        <fgColor rgb="FFFFFF00"/>
        <bgColor rgb="FFFFFFFF"/>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99CC"/>
        <bgColor indexed="64"/>
      </patternFill>
    </fill>
    <fill>
      <patternFill patternType="solid">
        <fgColor rgb="FFFF99CC"/>
        <bgColor rgb="FFFFFFFF"/>
      </patternFill>
    </fill>
    <fill>
      <patternFill patternType="solid">
        <fgColor theme="5" tint="0.59999389629810485"/>
        <bgColor indexed="64"/>
      </patternFill>
    </fill>
    <fill>
      <patternFill patternType="solid">
        <fgColor rgb="FFFFF2CC"/>
        <bgColor rgb="FFFFF2CC"/>
      </patternFill>
    </fill>
    <fill>
      <patternFill patternType="solid">
        <fgColor rgb="FFFFFF00"/>
        <bgColor indexed="64"/>
      </patternFill>
    </fill>
    <fill>
      <patternFill patternType="solid">
        <fgColor rgb="FFF3F3F3"/>
        <bgColor rgb="FFF3F3F3"/>
      </patternFill>
    </fill>
    <fill>
      <patternFill patternType="solid">
        <fgColor rgb="FFFCE5CD"/>
        <bgColor rgb="FFFCE5CD"/>
      </patternFill>
    </fill>
    <fill>
      <patternFill patternType="solid">
        <fgColor rgb="FFCFE2F3"/>
        <bgColor rgb="FFCFE2F3"/>
      </patternFill>
    </fill>
    <fill>
      <patternFill patternType="solid">
        <fgColor rgb="FFC9DAF8"/>
        <bgColor rgb="FFC9DAF8"/>
      </patternFill>
    </fill>
    <fill>
      <patternFill patternType="solid">
        <fgColor rgb="FFEAD1DC"/>
        <bgColor rgb="FFEAD1DC"/>
      </patternFill>
    </fill>
    <fill>
      <patternFill patternType="solid">
        <fgColor rgb="FF99FF99"/>
        <bgColor rgb="FFFFFFFF"/>
      </patternFill>
    </fill>
    <fill>
      <patternFill patternType="solid">
        <fgColor rgb="FF99FF99"/>
        <bgColor indexed="64"/>
      </patternFill>
    </fill>
    <fill>
      <patternFill patternType="solid">
        <fgColor theme="0"/>
        <bgColor indexed="64"/>
      </patternFill>
    </fill>
  </fills>
  <borders count="32">
    <border>
      <left/>
      <right/>
      <top/>
      <bottom/>
      <diagonal/>
    </border>
    <border>
      <left style="medium">
        <color rgb="FF000000"/>
      </left>
      <right/>
      <top style="medium">
        <color rgb="FF000000"/>
      </top>
      <bottom/>
      <diagonal/>
    </border>
    <border>
      <left/>
      <right/>
      <top style="medium">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top/>
      <bottom/>
      <diagonal/>
    </border>
    <border>
      <left style="thin">
        <color rgb="FF000000"/>
      </left>
      <right/>
      <top style="thin">
        <color rgb="FF000000"/>
      </top>
      <bottom/>
      <diagonal/>
    </border>
    <border>
      <left style="thin">
        <color rgb="FF000000"/>
      </left>
      <right style="medium">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medium">
        <color rgb="FF000000"/>
      </right>
      <top style="thin">
        <color rgb="FF000000"/>
      </top>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5" fillId="0" borderId="0" applyNumberFormat="0" applyFill="0" applyBorder="0" applyAlignment="0" applyProtection="0"/>
    <xf numFmtId="0" fontId="6" fillId="0" borderId="0"/>
    <xf numFmtId="0" fontId="12" fillId="0" borderId="0" applyNumberFormat="0" applyFill="0" applyBorder="0" applyAlignment="0" applyProtection="0"/>
    <xf numFmtId="0" fontId="1" fillId="0" borderId="0"/>
    <xf numFmtId="0" fontId="6" fillId="0" borderId="0"/>
  </cellStyleXfs>
  <cellXfs count="427">
    <xf numFmtId="0" fontId="0" fillId="0" borderId="0" xfId="0"/>
    <xf numFmtId="0" fontId="8" fillId="0" borderId="0" xfId="5" applyFont="1" applyAlignment="1"/>
    <xf numFmtId="0" fontId="6" fillId="0" borderId="0" xfId="5" applyFont="1" applyAlignment="1"/>
    <xf numFmtId="0" fontId="6" fillId="0" borderId="0" xfId="5" applyFont="1" applyAlignment="1"/>
    <xf numFmtId="0" fontId="7" fillId="0" borderId="0" xfId="5" applyFont="1" applyAlignment="1"/>
    <xf numFmtId="0" fontId="6" fillId="0" borderId="5" xfId="5" applyFont="1" applyBorder="1" applyAlignment="1">
      <alignment wrapText="1"/>
    </xf>
    <xf numFmtId="0" fontId="10" fillId="0" borderId="0" xfId="5" applyFont="1"/>
    <xf numFmtId="0" fontId="10" fillId="0" borderId="5" xfId="5" applyFont="1" applyBorder="1" applyAlignment="1">
      <alignment wrapText="1"/>
    </xf>
    <xf numFmtId="0" fontId="17" fillId="0" borderId="0" xfId="0" applyFont="1"/>
    <xf numFmtId="0" fontId="18" fillId="0" borderId="0" xfId="0" applyFont="1"/>
    <xf numFmtId="0" fontId="5" fillId="0" borderId="0" xfId="4"/>
    <xf numFmtId="0" fontId="19" fillId="0" borderId="5" xfId="0" applyFont="1" applyBorder="1" applyAlignment="1"/>
    <xf numFmtId="0" fontId="0" fillId="0" borderId="0" xfId="0" applyFont="1" applyAlignment="1"/>
    <xf numFmtId="0" fontId="20" fillId="0" borderId="5" xfId="0" applyFont="1" applyBorder="1" applyAlignment="1">
      <alignment horizontal="center" vertical="top" wrapText="1"/>
    </xf>
    <xf numFmtId="0" fontId="20" fillId="0" borderId="7" xfId="0" applyFont="1" applyBorder="1" applyAlignment="1">
      <alignment horizontal="center" vertical="top" wrapText="1"/>
    </xf>
    <xf numFmtId="0" fontId="20" fillId="0" borderId="21" xfId="0" applyFont="1" applyFill="1" applyBorder="1" applyAlignment="1">
      <alignment horizontal="center" vertical="top" wrapText="1"/>
    </xf>
    <xf numFmtId="164" fontId="14" fillId="0" borderId="5" xfId="0" applyNumberFormat="1" applyFont="1" applyBorder="1" applyAlignment="1"/>
    <xf numFmtId="1" fontId="3" fillId="0" borderId="5" xfId="0" applyNumberFormat="1" applyFont="1" applyBorder="1" applyAlignment="1"/>
    <xf numFmtId="1" fontId="0" fillId="0" borderId="5" xfId="0" applyNumberFormat="1" applyFont="1" applyBorder="1" applyAlignment="1"/>
    <xf numFmtId="1" fontId="14" fillId="0" borderId="5" xfId="0" applyNumberFormat="1" applyFont="1" applyBorder="1" applyAlignment="1"/>
    <xf numFmtId="0" fontId="14" fillId="0" borderId="21" xfId="0" applyFont="1" applyBorder="1" applyAlignment="1"/>
    <xf numFmtId="168" fontId="0" fillId="0" borderId="5" xfId="0" applyNumberFormat="1" applyFont="1" applyBorder="1" applyAlignment="1"/>
    <xf numFmtId="0" fontId="22" fillId="0" borderId="22" xfId="0" applyFont="1" applyBorder="1" applyAlignment="1"/>
    <xf numFmtId="9" fontId="14" fillId="0" borderId="5" xfId="0" applyNumberFormat="1" applyFont="1" applyBorder="1" applyAlignment="1"/>
    <xf numFmtId="0" fontId="0" fillId="0" borderId="5" xfId="0" applyFont="1" applyBorder="1" applyAlignment="1"/>
    <xf numFmtId="0" fontId="22" fillId="0" borderId="0" xfId="0" applyFont="1" applyAlignment="1"/>
    <xf numFmtId="6" fontId="23" fillId="5" borderId="16" xfId="0" applyNumberFormat="1" applyFont="1" applyFill="1" applyBorder="1" applyAlignment="1"/>
    <xf numFmtId="1" fontId="22" fillId="5" borderId="24" xfId="0" applyNumberFormat="1" applyFont="1" applyFill="1" applyBorder="1" applyAlignment="1"/>
    <xf numFmtId="164" fontId="22" fillId="5" borderId="24" xfId="0" applyNumberFormat="1" applyFont="1" applyFill="1" applyBorder="1" applyAlignment="1"/>
    <xf numFmtId="166" fontId="22" fillId="5" borderId="24" xfId="0" applyNumberFormat="1" applyFont="1" applyFill="1" applyBorder="1" applyAlignment="1"/>
    <xf numFmtId="4" fontId="22" fillId="5" borderId="20" xfId="0" applyNumberFormat="1" applyFont="1" applyFill="1" applyBorder="1" applyAlignment="1"/>
    <xf numFmtId="0" fontId="4" fillId="0" borderId="0" xfId="0" applyFont="1"/>
    <xf numFmtId="171" fontId="0" fillId="0" borderId="5" xfId="0" applyNumberFormat="1" applyFont="1" applyBorder="1" applyAlignment="1"/>
    <xf numFmtId="2" fontId="0" fillId="0" borderId="5" xfId="0" applyNumberFormat="1" applyFont="1" applyBorder="1" applyAlignment="1"/>
    <xf numFmtId="0" fontId="0" fillId="0" borderId="0" xfId="0" applyFont="1" applyBorder="1" applyAlignment="1"/>
    <xf numFmtId="0" fontId="0" fillId="5" borderId="5" xfId="0" applyFont="1" applyFill="1" applyBorder="1" applyAlignment="1"/>
    <xf numFmtId="174" fontId="0" fillId="5" borderId="5" xfId="0" applyNumberFormat="1" applyFont="1" applyFill="1" applyBorder="1" applyAlignment="1"/>
    <xf numFmtId="175" fontId="0" fillId="5" borderId="5" xfId="0" applyNumberFormat="1" applyFont="1" applyFill="1" applyBorder="1" applyAlignment="1"/>
    <xf numFmtId="2" fontId="21" fillId="0" borderId="5" xfId="0" applyNumberFormat="1" applyFont="1" applyBorder="1" applyAlignment="1"/>
    <xf numFmtId="168" fontId="21" fillId="0" borderId="5" xfId="0" applyNumberFormat="1" applyFont="1" applyBorder="1" applyAlignment="1"/>
    <xf numFmtId="0" fontId="14" fillId="0" borderId="0" xfId="5" applyFont="1" applyAlignment="1"/>
    <xf numFmtId="0" fontId="7" fillId="0" borderId="5" xfId="5" applyFont="1" applyBorder="1" applyAlignment="1">
      <alignment wrapText="1"/>
    </xf>
    <xf numFmtId="0" fontId="3" fillId="0" borderId="21" xfId="0" applyFont="1" applyBorder="1"/>
    <xf numFmtId="1" fontId="0" fillId="0" borderId="7" xfId="0" applyNumberFormat="1" applyFont="1" applyBorder="1" applyAlignment="1"/>
    <xf numFmtId="0" fontId="14" fillId="0" borderId="0" xfId="0" applyFont="1" applyBorder="1"/>
    <xf numFmtId="0" fontId="14" fillId="0" borderId="21" xfId="0" applyNumberFormat="1" applyFont="1" applyBorder="1" applyAlignment="1"/>
    <xf numFmtId="0" fontId="0" fillId="0" borderId="0" xfId="0" applyBorder="1" applyAlignment="1"/>
    <xf numFmtId="0" fontId="3" fillId="0" borderId="0" xfId="0" applyFont="1" applyBorder="1"/>
    <xf numFmtId="0" fontId="25" fillId="0" borderId="0" xfId="0" applyFont="1"/>
    <xf numFmtId="0" fontId="4" fillId="0" borderId="0" xfId="0" applyFont="1" applyBorder="1" applyAlignment="1"/>
    <xf numFmtId="49" fontId="0" fillId="0" borderId="0" xfId="0" applyNumberFormat="1" applyFont="1" applyBorder="1" applyAlignment="1">
      <alignment horizontal="left" vertical="top"/>
    </xf>
    <xf numFmtId="166" fontId="19" fillId="0" borderId="0" xfId="0" applyNumberFormat="1" applyFont="1" applyBorder="1" applyAlignment="1"/>
    <xf numFmtId="166" fontId="19" fillId="0" borderId="11" xfId="0" applyNumberFormat="1" applyFont="1" applyBorder="1" applyAlignment="1"/>
    <xf numFmtId="166" fontId="19" fillId="0" borderId="21" xfId="0" applyNumberFormat="1" applyFont="1" applyBorder="1" applyAlignment="1"/>
    <xf numFmtId="0" fontId="19" fillId="0" borderId="21" xfId="2" applyNumberFormat="1" applyFont="1" applyBorder="1" applyAlignment="1"/>
    <xf numFmtId="1" fontId="0" fillId="0" borderId="21" xfId="0" applyNumberFormat="1" applyBorder="1"/>
    <xf numFmtId="171" fontId="0" fillId="5" borderId="21" xfId="0" applyNumberFormat="1" applyFont="1" applyFill="1" applyBorder="1" applyAlignment="1"/>
    <xf numFmtId="0" fontId="0" fillId="0" borderId="0" xfId="0" applyBorder="1"/>
    <xf numFmtId="0" fontId="21" fillId="0" borderId="21" xfId="0" applyNumberFormat="1" applyFont="1" applyBorder="1" applyAlignment="1"/>
    <xf numFmtId="168" fontId="19" fillId="0" borderId="5" xfId="0" applyNumberFormat="1" applyFont="1" applyBorder="1" applyAlignment="1"/>
    <xf numFmtId="9" fontId="19" fillId="0" borderId="5" xfId="5" applyNumberFormat="1" applyFont="1" applyBorder="1" applyAlignment="1"/>
    <xf numFmtId="164" fontId="19" fillId="0" borderId="11" xfId="5" applyNumberFormat="1" applyFont="1" applyBorder="1" applyAlignment="1"/>
    <xf numFmtId="169" fontId="19" fillId="0" borderId="11" xfId="0" applyNumberFormat="1" applyFont="1" applyBorder="1" applyAlignment="1"/>
    <xf numFmtId="164" fontId="19" fillId="0" borderId="5" xfId="0" applyNumberFormat="1" applyFont="1" applyBorder="1" applyAlignment="1"/>
    <xf numFmtId="0" fontId="0" fillId="0" borderId="21" xfId="0" applyNumberFormat="1" applyFont="1" applyBorder="1" applyAlignment="1"/>
    <xf numFmtId="168" fontId="14" fillId="0" borderId="21" xfId="0" applyNumberFormat="1" applyFont="1" applyBorder="1" applyAlignment="1"/>
    <xf numFmtId="168" fontId="0" fillId="0" borderId="21" xfId="0" applyNumberFormat="1" applyBorder="1"/>
    <xf numFmtId="0" fontId="0" fillId="0" borderId="4" xfId="0" applyFont="1" applyBorder="1" applyAlignment="1"/>
    <xf numFmtId="171" fontId="0" fillId="0" borderId="7" xfId="0" applyNumberFormat="1" applyFont="1" applyBorder="1" applyAlignment="1"/>
    <xf numFmtId="168" fontId="0" fillId="0" borderId="11" xfId="0" applyNumberFormat="1" applyFont="1" applyBorder="1" applyAlignment="1"/>
    <xf numFmtId="168" fontId="0" fillId="0" borderId="21" xfId="0" applyNumberFormat="1" applyFont="1" applyBorder="1" applyAlignment="1"/>
    <xf numFmtId="0" fontId="7" fillId="0" borderId="21" xfId="5" applyFont="1" applyBorder="1" applyAlignment="1">
      <alignment wrapText="1"/>
    </xf>
    <xf numFmtId="0" fontId="6" fillId="0" borderId="21" xfId="5" applyFont="1" applyBorder="1" applyAlignment="1"/>
    <xf numFmtId="0" fontId="6" fillId="0" borderId="21" xfId="5" applyFont="1" applyBorder="1" applyAlignment="1">
      <alignment wrapText="1"/>
    </xf>
    <xf numFmtId="1" fontId="6" fillId="0" borderId="21" xfId="5" applyNumberFormat="1" applyFont="1" applyBorder="1" applyAlignment="1"/>
    <xf numFmtId="0" fontId="6" fillId="0" borderId="0" xfId="5" applyFont="1" applyAlignment="1"/>
    <xf numFmtId="0" fontId="5" fillId="0" borderId="0" xfId="4" applyAlignment="1"/>
    <xf numFmtId="0" fontId="30" fillId="0" borderId="21" xfId="5" applyFont="1" applyBorder="1" applyAlignment="1"/>
    <xf numFmtId="6" fontId="6" fillId="0" borderId="11" xfId="5" applyNumberFormat="1" applyFont="1" applyBorder="1" applyAlignment="1"/>
    <xf numFmtId="6" fontId="30" fillId="0" borderId="21" xfId="5" applyNumberFormat="1" applyFont="1" applyBorder="1" applyAlignment="1"/>
    <xf numFmtId="1" fontId="6" fillId="0" borderId="23" xfId="5" applyNumberFormat="1" applyFont="1" applyBorder="1" applyAlignment="1"/>
    <xf numFmtId="1" fontId="30" fillId="0" borderId="21" xfId="5" applyNumberFormat="1" applyFont="1" applyBorder="1" applyAlignment="1"/>
    <xf numFmtId="0" fontId="7" fillId="0" borderId="21" xfId="5" applyFont="1" applyBorder="1" applyAlignment="1"/>
    <xf numFmtId="0" fontId="6" fillId="0" borderId="0" xfId="5" applyFont="1" applyAlignment="1"/>
    <xf numFmtId="0" fontId="0" fillId="0" borderId="0" xfId="0" applyAlignment="1">
      <alignment horizontal="left" wrapText="1"/>
    </xf>
    <xf numFmtId="0" fontId="11" fillId="0" borderId="0" xfId="5" applyFont="1" applyAlignment="1"/>
    <xf numFmtId="0" fontId="33" fillId="0" borderId="21" xfId="5" applyFont="1" applyBorder="1" applyAlignment="1"/>
    <xf numFmtId="0" fontId="11" fillId="0" borderId="11" xfId="5" applyFont="1" applyBorder="1" applyAlignment="1"/>
    <xf numFmtId="0" fontId="6" fillId="0" borderId="0" xfId="5" applyFont="1" applyAlignment="1"/>
    <xf numFmtId="9" fontId="33" fillId="0" borderId="0" xfId="5" applyNumberFormat="1" applyFont="1" applyBorder="1" applyAlignment="1"/>
    <xf numFmtId="167" fontId="31" fillId="0" borderId="0" xfId="5" applyNumberFormat="1" applyFont="1" applyBorder="1"/>
    <xf numFmtId="0" fontId="33" fillId="0" borderId="0" xfId="5" applyFont="1" applyBorder="1" applyAlignment="1"/>
    <xf numFmtId="6" fontId="30" fillId="0" borderId="0" xfId="5" applyNumberFormat="1" applyFont="1" applyBorder="1" applyAlignment="1"/>
    <xf numFmtId="1" fontId="30" fillId="0" borderId="0" xfId="5" applyNumberFormat="1" applyFont="1" applyBorder="1" applyAlignment="1"/>
    <xf numFmtId="0" fontId="30" fillId="0" borderId="0" xfId="5" applyFont="1" applyBorder="1" applyAlignment="1"/>
    <xf numFmtId="0" fontId="7" fillId="0" borderId="0" xfId="5" applyFont="1" applyBorder="1" applyAlignment="1"/>
    <xf numFmtId="0" fontId="0" fillId="0" borderId="0" xfId="0"/>
    <xf numFmtId="169" fontId="21" fillId="0" borderId="5" xfId="0" applyNumberFormat="1" applyFont="1" applyBorder="1" applyAlignment="1"/>
    <xf numFmtId="2" fontId="34" fillId="0" borderId="5" xfId="0" applyNumberFormat="1" applyFont="1" applyBorder="1" applyAlignment="1"/>
    <xf numFmtId="0" fontId="0" fillId="0" borderId="21" xfId="0" applyBorder="1"/>
    <xf numFmtId="0" fontId="0" fillId="0" borderId="0" xfId="0"/>
    <xf numFmtId="0" fontId="6" fillId="0" borderId="0" xfId="5" applyFont="1" applyAlignment="1"/>
    <xf numFmtId="9" fontId="30" fillId="0" borderId="21" xfId="2" applyFont="1" applyBorder="1" applyAlignment="1"/>
    <xf numFmtId="9" fontId="6" fillId="0" borderId="21" xfId="2" applyFont="1" applyBorder="1" applyAlignment="1"/>
    <xf numFmtId="0" fontId="6" fillId="0" borderId="0" xfId="5" applyFont="1" applyAlignment="1"/>
    <xf numFmtId="9" fontId="35" fillId="0" borderId="21" xfId="2" applyFont="1" applyBorder="1"/>
    <xf numFmtId="0" fontId="35" fillId="0" borderId="21" xfId="0" applyFont="1" applyBorder="1"/>
    <xf numFmtId="2" fontId="11" fillId="0" borderId="5" xfId="0" applyNumberFormat="1" applyFont="1" applyBorder="1" applyAlignment="1"/>
    <xf numFmtId="168" fontId="10" fillId="0" borderId="21" xfId="0" applyNumberFormat="1" applyFont="1" applyBorder="1" applyAlignment="1"/>
    <xf numFmtId="49" fontId="9" fillId="0" borderId="5" xfId="0" applyNumberFormat="1" applyFont="1" applyBorder="1" applyAlignment="1">
      <alignment horizontal="left" vertical="top" wrapText="1"/>
    </xf>
    <xf numFmtId="49" fontId="9" fillId="7" borderId="5" xfId="0" applyNumberFormat="1" applyFont="1" applyFill="1" applyBorder="1" applyAlignment="1">
      <alignment horizontal="left" vertical="top" wrapText="1"/>
    </xf>
    <xf numFmtId="49" fontId="9" fillId="8" borderId="5" xfId="0" applyNumberFormat="1" applyFont="1" applyFill="1" applyBorder="1" applyAlignment="1">
      <alignment horizontal="left" vertical="top" wrapText="1"/>
    </xf>
    <xf numFmtId="49" fontId="9" fillId="9" borderId="5" xfId="0" applyNumberFormat="1" applyFont="1" applyFill="1" applyBorder="1" applyAlignment="1">
      <alignment horizontal="left" vertical="top" wrapText="1"/>
    </xf>
    <xf numFmtId="49" fontId="9" fillId="10" borderId="5" xfId="0" applyNumberFormat="1" applyFont="1" applyFill="1" applyBorder="1" applyAlignment="1">
      <alignment horizontal="left" vertical="top" wrapText="1"/>
    </xf>
    <xf numFmtId="49" fontId="9" fillId="11" borderId="5" xfId="0" applyNumberFormat="1" applyFont="1" applyFill="1" applyBorder="1" applyAlignment="1">
      <alignment horizontal="left" vertical="top" wrapText="1"/>
    </xf>
    <xf numFmtId="49" fontId="9" fillId="0" borderId="21" xfId="0" applyNumberFormat="1" applyFont="1" applyBorder="1" applyAlignment="1">
      <alignment horizontal="left" vertical="top" wrapText="1"/>
    </xf>
    <xf numFmtId="49" fontId="9" fillId="0" borderId="21" xfId="0" applyNumberFormat="1" applyFont="1" applyFill="1" applyBorder="1" applyAlignment="1">
      <alignment horizontal="left" vertical="top" wrapText="1"/>
    </xf>
    <xf numFmtId="1" fontId="36" fillId="0" borderId="5" xfId="0" applyNumberFormat="1" applyFont="1" applyFill="1" applyBorder="1"/>
    <xf numFmtId="176" fontId="37" fillId="0" borderId="5" xfId="0" applyNumberFormat="1" applyFont="1" applyBorder="1" applyAlignment="1"/>
    <xf numFmtId="177" fontId="37" fillId="4" borderId="5" xfId="0" applyNumberFormat="1" applyFont="1" applyFill="1" applyBorder="1"/>
    <xf numFmtId="168" fontId="10" fillId="0" borderId="5" xfId="0" applyNumberFormat="1" applyFont="1" applyBorder="1" applyAlignment="1"/>
    <xf numFmtId="177" fontId="36" fillId="12" borderId="5" xfId="0" applyNumberFormat="1" applyFont="1" applyFill="1" applyBorder="1"/>
    <xf numFmtId="168" fontId="0" fillId="0" borderId="5" xfId="0" applyNumberFormat="1" applyFont="1" applyFill="1" applyBorder="1" applyAlignment="1"/>
    <xf numFmtId="168" fontId="0" fillId="0" borderId="10" xfId="0" applyNumberFormat="1" applyFont="1" applyBorder="1" applyAlignment="1"/>
    <xf numFmtId="168" fontId="0" fillId="0" borderId="29" xfId="0" applyNumberFormat="1" applyFont="1" applyBorder="1" applyAlignment="1"/>
    <xf numFmtId="168" fontId="0" fillId="0" borderId="4" xfId="0" applyNumberFormat="1" applyFont="1" applyBorder="1" applyAlignment="1"/>
    <xf numFmtId="177" fontId="37" fillId="4" borderId="4" xfId="0" applyNumberFormat="1" applyFont="1" applyFill="1" applyBorder="1"/>
    <xf numFmtId="168" fontId="10" fillId="0" borderId="4" xfId="0" applyNumberFormat="1" applyFont="1" applyBorder="1" applyAlignment="1"/>
    <xf numFmtId="2" fontId="0" fillId="13" borderId="21" xfId="0" applyNumberFormat="1" applyFont="1" applyFill="1" applyBorder="1" applyAlignment="1"/>
    <xf numFmtId="6" fontId="0" fillId="0" borderId="0" xfId="0" applyNumberFormat="1" applyFont="1" applyFill="1" applyBorder="1" applyAlignment="1"/>
    <xf numFmtId="171" fontId="0" fillId="0" borderId="0" xfId="0" applyNumberFormat="1" applyFont="1" applyFill="1" applyBorder="1" applyAlignment="1"/>
    <xf numFmtId="6" fontId="10" fillId="3" borderId="0" xfId="0" applyNumberFormat="1" applyFont="1" applyFill="1" applyBorder="1" applyAlignment="1"/>
    <xf numFmtId="6" fontId="0" fillId="5" borderId="30" xfId="0" applyNumberFormat="1" applyFont="1" applyFill="1" applyBorder="1" applyAlignment="1"/>
    <xf numFmtId="164" fontId="14" fillId="0" borderId="4" xfId="0" applyNumberFormat="1" applyFont="1" applyBorder="1" applyAlignment="1"/>
    <xf numFmtId="0" fontId="20" fillId="0" borderId="11" xfId="0" applyFont="1" applyBorder="1" applyAlignment="1">
      <alignment horizontal="center" vertical="top" wrapText="1"/>
    </xf>
    <xf numFmtId="1" fontId="21" fillId="0" borderId="21" xfId="0" applyNumberFormat="1" applyFont="1" applyBorder="1" applyAlignment="1"/>
    <xf numFmtId="176" fontId="37" fillId="0" borderId="11" xfId="0" applyNumberFormat="1" applyFont="1" applyBorder="1" applyAlignment="1"/>
    <xf numFmtId="2" fontId="0" fillId="0" borderId="11" xfId="0" applyNumberFormat="1" applyFont="1" applyBorder="1" applyAlignment="1"/>
    <xf numFmtId="1" fontId="36" fillId="0" borderId="7" xfId="0" applyNumberFormat="1" applyFont="1" applyFill="1" applyBorder="1"/>
    <xf numFmtId="176" fontId="37" fillId="0" borderId="21" xfId="0" applyNumberFormat="1" applyFont="1" applyBorder="1" applyAlignment="1"/>
    <xf numFmtId="168" fontId="10" fillId="0" borderId="10" xfId="0" applyNumberFormat="1" applyFont="1" applyBorder="1" applyAlignment="1"/>
    <xf numFmtId="178" fontId="22" fillId="5" borderId="24" xfId="0" applyNumberFormat="1" applyFont="1" applyFill="1" applyBorder="1" applyAlignment="1"/>
    <xf numFmtId="2" fontId="22" fillId="5" borderId="20" xfId="0" applyNumberFormat="1" applyFont="1" applyFill="1" applyBorder="1" applyAlignment="1"/>
    <xf numFmtId="0" fontId="38" fillId="0" borderId="1" xfId="8" applyFont="1" applyBorder="1" applyAlignment="1"/>
    <xf numFmtId="0" fontId="37" fillId="0" borderId="2" xfId="8" applyFont="1" applyBorder="1" applyAlignment="1"/>
    <xf numFmtId="0" fontId="37" fillId="0" borderId="0" xfId="8" applyFont="1" applyAlignment="1"/>
    <xf numFmtId="0" fontId="6" fillId="0" borderId="0" xfId="8" applyFont="1" applyAlignment="1"/>
    <xf numFmtId="0" fontId="6" fillId="0" borderId="0" xfId="8" applyFont="1" applyAlignment="1"/>
    <xf numFmtId="0" fontId="40" fillId="0" borderId="0" xfId="8" applyFont="1" applyAlignment="1"/>
    <xf numFmtId="0" fontId="41" fillId="0" borderId="0" xfId="8" applyFont="1" applyAlignment="1"/>
    <xf numFmtId="0" fontId="36" fillId="0" borderId="0" xfId="8" applyFont="1"/>
    <xf numFmtId="164" fontId="42" fillId="0" borderId="5" xfId="8" applyNumberFormat="1" applyFont="1" applyBorder="1" applyAlignment="1"/>
    <xf numFmtId="165" fontId="43" fillId="0" borderId="5" xfId="8" applyNumberFormat="1" applyFont="1" applyBorder="1" applyAlignment="1"/>
    <xf numFmtId="166" fontId="42" fillId="0" borderId="11" xfId="8" applyNumberFormat="1" applyFont="1" applyBorder="1" applyAlignment="1"/>
    <xf numFmtId="0" fontId="45" fillId="0" borderId="0" xfId="8" applyFont="1" applyAlignment="1"/>
    <xf numFmtId="0" fontId="36" fillId="0" borderId="0" xfId="8" applyFont="1" applyAlignment="1"/>
    <xf numFmtId="0" fontId="44" fillId="14" borderId="5" xfId="8" applyFont="1" applyFill="1" applyBorder="1" applyAlignment="1"/>
    <xf numFmtId="0" fontId="44" fillId="0" borderId="0" xfId="8" applyFont="1" applyAlignment="1"/>
    <xf numFmtId="1" fontId="46" fillId="0" borderId="5" xfId="8" applyNumberFormat="1" applyFont="1" applyBorder="1" applyAlignment="1"/>
    <xf numFmtId="1" fontId="47" fillId="14" borderId="5" xfId="8" applyNumberFormat="1" applyFont="1" applyFill="1" applyBorder="1" applyAlignment="1"/>
    <xf numFmtId="166" fontId="43" fillId="0" borderId="5" xfId="8" applyNumberFormat="1" applyFont="1" applyBorder="1" applyAlignment="1"/>
    <xf numFmtId="9" fontId="42" fillId="0" borderId="5" xfId="8" applyNumberFormat="1" applyFont="1" applyBorder="1" applyAlignment="1"/>
    <xf numFmtId="0" fontId="37" fillId="4" borderId="0" xfId="8" applyFont="1" applyFill="1" applyAlignment="1"/>
    <xf numFmtId="49" fontId="37" fillId="4" borderId="0" xfId="8" applyNumberFormat="1" applyFont="1" applyFill="1" applyAlignment="1">
      <alignment horizontal="left" vertical="top" wrapText="1"/>
    </xf>
    <xf numFmtId="167" fontId="42" fillId="4" borderId="0" xfId="8" applyNumberFormat="1" applyFont="1" applyFill="1" applyAlignment="1"/>
    <xf numFmtId="49" fontId="39" fillId="4" borderId="0" xfId="8" applyNumberFormat="1" applyFont="1" applyFill="1" applyAlignment="1"/>
    <xf numFmtId="167" fontId="42" fillId="0" borderId="5" xfId="8" applyNumberFormat="1" applyFont="1" applyBorder="1" applyAlignment="1"/>
    <xf numFmtId="168" fontId="47" fillId="14" borderId="5" xfId="8" applyNumberFormat="1" applyFont="1" applyFill="1" applyBorder="1" applyAlignment="1"/>
    <xf numFmtId="167" fontId="43" fillId="0" borderId="5" xfId="8" applyNumberFormat="1" applyFont="1" applyBorder="1" applyAlignment="1"/>
    <xf numFmtId="176" fontId="42" fillId="0" borderId="5" xfId="8" applyNumberFormat="1" applyFont="1" applyBorder="1" applyAlignment="1"/>
    <xf numFmtId="3" fontId="42" fillId="0" borderId="5" xfId="8" applyNumberFormat="1" applyFont="1" applyBorder="1" applyAlignment="1"/>
    <xf numFmtId="166" fontId="42" fillId="0" borderId="5" xfId="8" applyNumberFormat="1" applyFont="1" applyBorder="1" applyAlignment="1"/>
    <xf numFmtId="177" fontId="44" fillId="14" borderId="5" xfId="8" applyNumberFormat="1" applyFont="1" applyFill="1" applyBorder="1" applyAlignment="1"/>
    <xf numFmtId="9" fontId="42" fillId="0" borderId="11" xfId="8" applyNumberFormat="1" applyFont="1" applyBorder="1" applyAlignment="1"/>
    <xf numFmtId="49" fontId="37" fillId="0" borderId="0" xfId="8" applyNumberFormat="1" applyFont="1" applyAlignment="1">
      <alignment horizontal="left" vertical="top" wrapText="1"/>
    </xf>
    <xf numFmtId="49" fontId="36" fillId="0" borderId="0" xfId="8" applyNumberFormat="1" applyFont="1" applyAlignment="1">
      <alignment horizontal="left" vertical="top" wrapText="1"/>
    </xf>
    <xf numFmtId="164" fontId="42" fillId="0" borderId="0" xfId="8" applyNumberFormat="1" applyFont="1" applyAlignment="1"/>
    <xf numFmtId="0" fontId="38" fillId="0" borderId="0" xfId="8" applyFont="1" applyAlignment="1"/>
    <xf numFmtId="0" fontId="37" fillId="0" borderId="0" xfId="8" applyFont="1" applyAlignment="1">
      <alignment wrapText="1"/>
    </xf>
    <xf numFmtId="0" fontId="10" fillId="0" borderId="0" xfId="8" applyFont="1" applyBorder="1"/>
    <xf numFmtId="0" fontId="37" fillId="0" borderId="0" xfId="8" applyFont="1" applyAlignment="1">
      <alignment vertical="top"/>
    </xf>
    <xf numFmtId="49" fontId="39" fillId="15" borderId="5" xfId="8" applyNumberFormat="1" applyFont="1" applyFill="1" applyBorder="1" applyAlignment="1">
      <alignment horizontal="left" vertical="top" wrapText="1"/>
    </xf>
    <xf numFmtId="49" fontId="39" fillId="16" borderId="5" xfId="8" applyNumberFormat="1" applyFont="1" applyFill="1" applyBorder="1" applyAlignment="1">
      <alignment horizontal="left" vertical="top" wrapText="1"/>
    </xf>
    <xf numFmtId="0" fontId="45" fillId="16" borderId="5" xfId="8" applyFont="1" applyFill="1" applyBorder="1" applyAlignment="1">
      <alignment horizontal="left" vertical="top" wrapText="1"/>
    </xf>
    <xf numFmtId="49" fontId="39" fillId="12" borderId="5" xfId="8" applyNumberFormat="1" applyFont="1" applyFill="1" applyBorder="1" applyAlignment="1">
      <alignment horizontal="left" vertical="top" wrapText="1"/>
    </xf>
    <xf numFmtId="0" fontId="45" fillId="12" borderId="5" xfId="8" applyFont="1" applyFill="1" applyBorder="1" applyAlignment="1">
      <alignment horizontal="left" vertical="top" wrapText="1"/>
    </xf>
    <xf numFmtId="49" fontId="39" fillId="17" borderId="5" xfId="8" applyNumberFormat="1" applyFont="1" applyFill="1" applyBorder="1" applyAlignment="1">
      <alignment horizontal="left" vertical="top" wrapText="1"/>
    </xf>
    <xf numFmtId="0" fontId="45" fillId="17" borderId="0" xfId="8" applyFont="1" applyFill="1" applyAlignment="1">
      <alignment horizontal="left" vertical="top" wrapText="1"/>
    </xf>
    <xf numFmtId="49" fontId="39" fillId="18" borderId="5" xfId="8" applyNumberFormat="1" applyFont="1" applyFill="1" applyBorder="1" applyAlignment="1">
      <alignment horizontal="left" vertical="top" wrapText="1"/>
    </xf>
    <xf numFmtId="49" fontId="39" fillId="18" borderId="12" xfId="8" applyNumberFormat="1" applyFont="1" applyFill="1" applyBorder="1" applyAlignment="1">
      <alignment horizontal="left" vertical="top" wrapText="1"/>
    </xf>
    <xf numFmtId="0" fontId="36" fillId="0" borderId="0" xfId="8" applyFont="1" applyAlignment="1">
      <alignment horizontal="left" vertical="top"/>
    </xf>
    <xf numFmtId="0" fontId="37" fillId="0" borderId="0" xfId="8" applyFont="1" applyAlignment="1">
      <alignment horizontal="left" vertical="top"/>
    </xf>
    <xf numFmtId="0" fontId="37" fillId="0" borderId="5" xfId="8" applyFont="1" applyBorder="1" applyAlignment="1"/>
    <xf numFmtId="1" fontId="37" fillId="4" borderId="5" xfId="8" applyNumberFormat="1" applyFont="1" applyFill="1" applyBorder="1" applyAlignment="1"/>
    <xf numFmtId="172" fontId="37" fillId="0" borderId="5" xfId="8" applyNumberFormat="1" applyFont="1" applyBorder="1" applyAlignment="1">
      <alignment vertical="top"/>
    </xf>
    <xf numFmtId="177" fontId="36" fillId="16" borderId="5" xfId="8" applyNumberFormat="1" applyFont="1" applyFill="1" applyBorder="1"/>
    <xf numFmtId="1" fontId="36" fillId="0" borderId="5" xfId="8" applyNumberFormat="1" applyFont="1" applyFill="1" applyBorder="1"/>
    <xf numFmtId="176" fontId="37" fillId="0" borderId="5" xfId="8" applyNumberFormat="1" applyFont="1" applyBorder="1" applyAlignment="1"/>
    <xf numFmtId="177" fontId="37" fillId="4" borderId="5" xfId="8" applyNumberFormat="1" applyFont="1" applyFill="1" applyBorder="1"/>
    <xf numFmtId="177" fontId="37" fillId="0" borderId="5" xfId="8" applyNumberFormat="1" applyFont="1" applyBorder="1" applyAlignment="1"/>
    <xf numFmtId="177" fontId="36" fillId="12" borderId="5" xfId="8" applyNumberFormat="1" applyFont="1" applyFill="1" applyBorder="1"/>
    <xf numFmtId="179" fontId="37" fillId="0" borderId="5" xfId="8" applyNumberFormat="1" applyFont="1" applyBorder="1" applyAlignment="1"/>
    <xf numFmtId="177" fontId="36" fillId="17" borderId="5" xfId="8" applyNumberFormat="1" applyFont="1" applyFill="1" applyBorder="1"/>
    <xf numFmtId="177" fontId="37" fillId="15" borderId="5" xfId="8" applyNumberFormat="1" applyFont="1" applyFill="1" applyBorder="1" applyAlignment="1"/>
    <xf numFmtId="167" fontId="37" fillId="0" borderId="5" xfId="8" applyNumberFormat="1" applyFont="1" applyBorder="1" applyAlignment="1"/>
    <xf numFmtId="176" fontId="36" fillId="0" borderId="5" xfId="8" applyNumberFormat="1" applyFont="1" applyBorder="1" applyAlignment="1"/>
    <xf numFmtId="176" fontId="39" fillId="0" borderId="5" xfId="8" applyNumberFormat="1" applyFont="1" applyFill="1" applyBorder="1" applyAlignment="1"/>
    <xf numFmtId="9" fontId="36" fillId="0" borderId="0" xfId="8" applyNumberFormat="1" applyFont="1"/>
    <xf numFmtId="172" fontId="37" fillId="0" borderId="5" xfId="8" applyNumberFormat="1" applyFont="1" applyBorder="1" applyAlignment="1"/>
    <xf numFmtId="176" fontId="39" fillId="18" borderId="5" xfId="8" applyNumberFormat="1" applyFont="1" applyFill="1" applyBorder="1" applyAlignment="1"/>
    <xf numFmtId="0" fontId="37" fillId="0" borderId="11" xfId="8" applyFont="1" applyBorder="1" applyAlignment="1"/>
    <xf numFmtId="1" fontId="37" fillId="4" borderId="11" xfId="8" applyNumberFormat="1" applyFont="1" applyFill="1" applyBorder="1" applyAlignment="1"/>
    <xf numFmtId="172" fontId="37" fillId="0" borderId="11" xfId="8" applyNumberFormat="1" applyFont="1" applyBorder="1" applyAlignment="1"/>
    <xf numFmtId="177" fontId="36" fillId="16" borderId="11" xfId="8" applyNumberFormat="1" applyFont="1" applyFill="1" applyBorder="1"/>
    <xf numFmtId="1" fontId="36" fillId="0" borderId="11" xfId="8" applyNumberFormat="1" applyFont="1" applyFill="1" applyBorder="1"/>
    <xf numFmtId="176" fontId="37" fillId="0" borderId="11" xfId="8" applyNumberFormat="1" applyFont="1" applyBorder="1" applyAlignment="1"/>
    <xf numFmtId="177" fontId="37" fillId="4" borderId="11" xfId="8" applyNumberFormat="1" applyFont="1" applyFill="1" applyBorder="1"/>
    <xf numFmtId="177" fontId="37" fillId="0" borderId="11" xfId="8" applyNumberFormat="1" applyFont="1" applyBorder="1" applyAlignment="1"/>
    <xf numFmtId="179" fontId="37" fillId="0" borderId="11" xfId="8" applyNumberFormat="1" applyFont="1" applyBorder="1" applyAlignment="1"/>
    <xf numFmtId="177" fontId="36" fillId="17" borderId="11" xfId="8" applyNumberFormat="1" applyFont="1" applyFill="1" applyBorder="1"/>
    <xf numFmtId="177" fontId="37" fillId="15" borderId="11" xfId="8" applyNumberFormat="1" applyFont="1" applyFill="1" applyBorder="1" applyAlignment="1"/>
    <xf numFmtId="176" fontId="36" fillId="0" borderId="11" xfId="8" applyNumberFormat="1" applyFont="1" applyBorder="1" applyAlignment="1"/>
    <xf numFmtId="0" fontId="37" fillId="0" borderId="21" xfId="8" applyFont="1" applyBorder="1" applyAlignment="1"/>
    <xf numFmtId="9" fontId="36" fillId="0" borderId="0" xfId="8" applyNumberFormat="1" applyFont="1" applyBorder="1"/>
    <xf numFmtId="0" fontId="36" fillId="0" borderId="0" xfId="8" applyFont="1" applyBorder="1"/>
    <xf numFmtId="0" fontId="37" fillId="0" borderId="0" xfId="8" applyFont="1" applyBorder="1" applyAlignment="1"/>
    <xf numFmtId="0" fontId="39" fillId="0" borderId="9" xfId="8" applyFont="1" applyBorder="1" applyAlignment="1">
      <alignment horizontal="right"/>
    </xf>
    <xf numFmtId="1" fontId="39" fillId="0" borderId="9" xfId="8" applyNumberFormat="1" applyFont="1" applyBorder="1" applyAlignment="1"/>
    <xf numFmtId="0" fontId="36" fillId="0" borderId="9" xfId="8" applyFont="1" applyBorder="1"/>
    <xf numFmtId="176" fontId="45" fillId="0" borderId="9" xfId="8" applyNumberFormat="1" applyFont="1" applyBorder="1"/>
    <xf numFmtId="170" fontId="39" fillId="0" borderId="9" xfId="8" applyNumberFormat="1" applyFont="1" applyBorder="1" applyAlignment="1"/>
    <xf numFmtId="177" fontId="45" fillId="0" borderId="9" xfId="8" applyNumberFormat="1" applyFont="1" applyBorder="1"/>
    <xf numFmtId="177" fontId="39" fillId="0" borderId="9" xfId="8" applyNumberFormat="1" applyFont="1" applyBorder="1" applyAlignment="1"/>
    <xf numFmtId="167" fontId="37" fillId="0" borderId="9" xfId="8" applyNumberFormat="1" applyFont="1" applyBorder="1" applyAlignment="1"/>
    <xf numFmtId="0" fontId="37" fillId="0" borderId="9" xfId="8" applyFont="1" applyBorder="1" applyAlignment="1"/>
    <xf numFmtId="168" fontId="37" fillId="0" borderId="9" xfId="8" applyNumberFormat="1" applyFont="1" applyBorder="1" applyAlignment="1"/>
    <xf numFmtId="0" fontId="39" fillId="0" borderId="0" xfId="8" applyFont="1" applyBorder="1" applyAlignment="1"/>
    <xf numFmtId="1" fontId="37" fillId="0" borderId="0" xfId="8" applyNumberFormat="1" applyFont="1" applyAlignment="1"/>
    <xf numFmtId="0" fontId="39" fillId="0" borderId="0" xfId="8" applyFont="1" applyAlignment="1"/>
    <xf numFmtId="6" fontId="45" fillId="5" borderId="16" xfId="8" applyNumberFormat="1" applyFont="1" applyFill="1" applyBorder="1" applyAlignment="1"/>
    <xf numFmtId="166" fontId="45" fillId="0" borderId="0" xfId="8" applyNumberFormat="1" applyFont="1" applyAlignment="1"/>
    <xf numFmtId="1" fontId="39" fillId="5" borderId="31" xfId="8" applyNumberFormat="1" applyFont="1" applyFill="1" applyBorder="1" applyAlignment="1"/>
    <xf numFmtId="166" fontId="45" fillId="6" borderId="21" xfId="8" applyNumberFormat="1" applyFont="1" applyFill="1" applyBorder="1" applyAlignment="1"/>
    <xf numFmtId="166" fontId="42" fillId="4" borderId="0" xfId="8" applyNumberFormat="1" applyFont="1" applyFill="1" applyBorder="1" applyAlignment="1"/>
    <xf numFmtId="49" fontId="37" fillId="4" borderId="0" xfId="8" applyNumberFormat="1" applyFont="1" applyFill="1" applyBorder="1" applyAlignment="1">
      <alignment horizontal="left" vertical="top"/>
    </xf>
    <xf numFmtId="1" fontId="39" fillId="4" borderId="0" xfId="8" applyNumberFormat="1" applyFont="1" applyFill="1" applyBorder="1" applyAlignment="1"/>
    <xf numFmtId="166" fontId="45" fillId="4" borderId="0" xfId="8" applyNumberFormat="1" applyFont="1" applyFill="1" applyBorder="1" applyAlignment="1"/>
    <xf numFmtId="173" fontId="39" fillId="4" borderId="5" xfId="8" applyNumberFormat="1" applyFont="1" applyFill="1" applyBorder="1" applyAlignment="1"/>
    <xf numFmtId="0" fontId="37" fillId="4" borderId="0" xfId="8" applyFont="1" applyFill="1" applyBorder="1" applyAlignment="1"/>
    <xf numFmtId="164" fontId="39" fillId="4" borderId="5" xfId="8" applyNumberFormat="1" applyFont="1" applyFill="1" applyBorder="1" applyAlignment="1"/>
    <xf numFmtId="166" fontId="36" fillId="4" borderId="0" xfId="8" applyNumberFormat="1" applyFont="1" applyFill="1" applyBorder="1" applyAlignment="1"/>
    <xf numFmtId="0" fontId="4" fillId="0" borderId="0" xfId="8" applyFont="1"/>
    <xf numFmtId="0" fontId="6" fillId="0" borderId="0" xfId="8"/>
    <xf numFmtId="0" fontId="34" fillId="0" borderId="21" xfId="8" applyFont="1" applyBorder="1"/>
    <xf numFmtId="1" fontId="6" fillId="0" borderId="21" xfId="8" applyNumberFormat="1" applyBorder="1"/>
    <xf numFmtId="0" fontId="39" fillId="0" borderId="22" xfId="8" applyFont="1" applyBorder="1" applyAlignment="1"/>
    <xf numFmtId="0" fontId="42" fillId="0" borderId="5" xfId="8" applyFont="1" applyBorder="1" applyAlignment="1"/>
    <xf numFmtId="0" fontId="39" fillId="0" borderId="5" xfId="8" applyFont="1" applyBorder="1" applyAlignment="1"/>
    <xf numFmtId="0" fontId="39" fillId="0" borderId="5" xfId="8" applyFont="1" applyBorder="1" applyAlignment="1">
      <alignment horizontal="center" vertical="top" wrapText="1"/>
    </xf>
    <xf numFmtId="0" fontId="39" fillId="0" borderId="7" xfId="8" applyFont="1" applyBorder="1" applyAlignment="1">
      <alignment horizontal="center" vertical="top" wrapText="1"/>
    </xf>
    <xf numFmtId="0" fontId="37" fillId="0" borderId="6" xfId="8" applyFont="1" applyBorder="1" applyAlignment="1">
      <alignment horizontal="right"/>
    </xf>
    <xf numFmtId="1" fontId="42" fillId="0" borderId="5" xfId="8" applyNumberFormat="1" applyFont="1" applyBorder="1" applyAlignment="1"/>
    <xf numFmtId="2" fontId="42" fillId="0" borderId="5" xfId="8" applyNumberFormat="1" applyFont="1" applyBorder="1" applyAlignment="1"/>
    <xf numFmtId="1" fontId="36" fillId="0" borderId="7" xfId="8" applyNumberFormat="1" applyFont="1" applyBorder="1" applyAlignment="1"/>
    <xf numFmtId="1" fontId="37" fillId="0" borderId="5" xfId="8" applyNumberFormat="1" applyFont="1" applyBorder="1" applyAlignment="1"/>
    <xf numFmtId="0" fontId="39" fillId="0" borderId="6" xfId="8" applyFont="1" applyBorder="1" applyAlignment="1">
      <alignment horizontal="right"/>
    </xf>
    <xf numFmtId="1" fontId="39" fillId="0" borderId="7" xfId="8" applyNumberFormat="1" applyFont="1" applyBorder="1" applyAlignment="1"/>
    <xf numFmtId="1" fontId="45" fillId="0" borderId="5" xfId="8" applyNumberFormat="1" applyFont="1" applyBorder="1" applyAlignment="1"/>
    <xf numFmtId="1" fontId="39" fillId="0" borderId="5" xfId="8" applyNumberFormat="1" applyFont="1" applyBorder="1" applyAlignment="1"/>
    <xf numFmtId="170" fontId="39" fillId="0" borderId="5" xfId="8" applyNumberFormat="1" applyFont="1" applyBorder="1" applyAlignment="1"/>
    <xf numFmtId="0" fontId="39" fillId="0" borderId="0" xfId="8" applyFont="1" applyAlignment="1">
      <alignment horizontal="right"/>
    </xf>
    <xf numFmtId="0" fontId="45" fillId="0" borderId="0" xfId="8" applyFont="1" applyAlignment="1">
      <alignment horizontal="right"/>
    </xf>
    <xf numFmtId="164" fontId="36" fillId="0" borderId="0" xfId="8" applyNumberFormat="1" applyFont="1" applyAlignment="1"/>
    <xf numFmtId="1" fontId="36" fillId="0" borderId="0" xfId="8" applyNumberFormat="1" applyFont="1" applyAlignment="1"/>
    <xf numFmtId="2" fontId="37" fillId="0" borderId="0" xfId="8" applyNumberFormat="1" applyFont="1" applyAlignment="1"/>
    <xf numFmtId="1" fontId="36" fillId="14" borderId="5" xfId="8" applyNumberFormat="1" applyFont="1" applyFill="1" applyBorder="1" applyAlignment="1"/>
    <xf numFmtId="9" fontId="36" fillId="14" borderId="5" xfId="8" applyNumberFormat="1" applyFont="1" applyFill="1" applyBorder="1" applyAlignment="1"/>
    <xf numFmtId="1" fontId="42" fillId="0" borderId="21" xfId="8" applyNumberFormat="1" applyFont="1" applyBorder="1"/>
    <xf numFmtId="0" fontId="11" fillId="0" borderId="21" xfId="5" applyFont="1" applyBorder="1" applyAlignment="1"/>
    <xf numFmtId="0" fontId="11" fillId="0" borderId="11" xfId="5" applyFont="1" applyBorder="1" applyAlignment="1">
      <alignment wrapText="1"/>
    </xf>
    <xf numFmtId="0" fontId="11" fillId="0" borderId="21" xfId="5" applyFont="1" applyBorder="1" applyAlignment="1">
      <alignment wrapText="1"/>
    </xf>
    <xf numFmtId="6" fontId="6" fillId="0" borderId="21" xfId="5" applyNumberFormat="1" applyFont="1" applyBorder="1" applyAlignment="1"/>
    <xf numFmtId="0" fontId="26" fillId="0" borderId="5" xfId="0" applyFont="1" applyBorder="1" applyAlignment="1"/>
    <xf numFmtId="0" fontId="29" fillId="0" borderId="5" xfId="0" applyFont="1" applyBorder="1" applyAlignment="1"/>
    <xf numFmtId="9" fontId="29" fillId="0" borderId="5" xfId="0" applyNumberFormat="1" applyFont="1" applyBorder="1" applyAlignment="1"/>
    <xf numFmtId="0" fontId="26" fillId="0" borderId="21" xfId="0" applyNumberFormat="1" applyFont="1" applyBorder="1"/>
    <xf numFmtId="0" fontId="48" fillId="0" borderId="21" xfId="0" applyFont="1" applyBorder="1"/>
    <xf numFmtId="0" fontId="26" fillId="0" borderId="21" xfId="0" applyFont="1" applyBorder="1"/>
    <xf numFmtId="1" fontId="26" fillId="0" borderId="21" xfId="0" applyNumberFormat="1" applyFont="1" applyBorder="1"/>
    <xf numFmtId="0" fontId="49" fillId="0" borderId="0" xfId="5" applyFont="1" applyAlignment="1"/>
    <xf numFmtId="168" fontId="11" fillId="0" borderId="11" xfId="0" applyNumberFormat="1" applyFont="1" applyBorder="1" applyAlignment="1"/>
    <xf numFmtId="180" fontId="10" fillId="0" borderId="11" xfId="5" applyNumberFormat="1" applyFont="1" applyBorder="1"/>
    <xf numFmtId="181" fontId="10" fillId="0" borderId="11" xfId="1" applyNumberFormat="1" applyFont="1" applyBorder="1"/>
    <xf numFmtId="181" fontId="6" fillId="0" borderId="21" xfId="1" applyNumberFormat="1" applyFont="1" applyBorder="1" applyAlignment="1"/>
    <xf numFmtId="0" fontId="10" fillId="20" borderId="0" xfId="5" applyFont="1" applyFill="1" applyAlignment="1"/>
    <xf numFmtId="0" fontId="6" fillId="20" borderId="0" xfId="5" applyFont="1" applyFill="1" applyAlignment="1"/>
    <xf numFmtId="0" fontId="5" fillId="20" borderId="0" xfId="4" applyFill="1" applyAlignment="1"/>
    <xf numFmtId="0" fontId="9" fillId="20" borderId="5" xfId="5" applyFont="1" applyFill="1" applyBorder="1" applyAlignment="1">
      <alignment wrapText="1"/>
    </xf>
    <xf numFmtId="9" fontId="11" fillId="20" borderId="11" xfId="5" applyNumberFormat="1" applyFont="1" applyFill="1" applyBorder="1" applyAlignment="1"/>
    <xf numFmtId="9" fontId="33" fillId="20" borderId="21" xfId="5" applyNumberFormat="1" applyFont="1" applyFill="1" applyBorder="1" applyAlignment="1"/>
    <xf numFmtId="0" fontId="11" fillId="20" borderId="11" xfId="5" applyFont="1" applyFill="1" applyBorder="1" applyAlignment="1"/>
    <xf numFmtId="0" fontId="11" fillId="20" borderId="21" xfId="5" applyFont="1" applyFill="1" applyBorder="1" applyAlignment="1"/>
    <xf numFmtId="0" fontId="10" fillId="21" borderId="0" xfId="5" applyFont="1" applyFill="1" applyAlignment="1"/>
    <xf numFmtId="181" fontId="30" fillId="0" borderId="21" xfId="1" applyNumberFormat="1" applyFont="1" applyBorder="1" applyAlignment="1"/>
    <xf numFmtId="0" fontId="6" fillId="0" borderId="7" xfId="5" applyFont="1" applyBorder="1" applyAlignment="1">
      <alignment wrapText="1"/>
    </xf>
    <xf numFmtId="166" fontId="11" fillId="0" borderId="5" xfId="0" applyNumberFormat="1" applyFont="1" applyBorder="1" applyAlignment="1"/>
    <xf numFmtId="168" fontId="19" fillId="0" borderId="11" xfId="0" applyNumberFormat="1" applyFont="1" applyBorder="1" applyAlignment="1"/>
    <xf numFmtId="169" fontId="6" fillId="0" borderId="21" xfId="5" applyNumberFormat="1" applyFont="1" applyBorder="1" applyAlignment="1"/>
    <xf numFmtId="169" fontId="30" fillId="0" borderId="21" xfId="2" applyNumberFormat="1" applyFont="1" applyBorder="1" applyAlignment="1"/>
    <xf numFmtId="0" fontId="23" fillId="20" borderId="5" xfId="5" applyFont="1" applyFill="1" applyBorder="1" applyAlignment="1">
      <alignment wrapText="1"/>
    </xf>
    <xf numFmtId="181" fontId="13" fillId="0" borderId="21" xfId="1" applyNumberFormat="1" applyFont="1" applyBorder="1"/>
    <xf numFmtId="169" fontId="30" fillId="0" borderId="21" xfId="5" applyNumberFormat="1" applyFont="1" applyBorder="1" applyAlignment="1"/>
    <xf numFmtId="169" fontId="6" fillId="0" borderId="21" xfId="2" applyNumberFormat="1" applyFont="1" applyBorder="1" applyAlignment="1"/>
    <xf numFmtId="164" fontId="6" fillId="0" borderId="21" xfId="5" applyNumberFormat="1" applyFont="1" applyBorder="1" applyAlignment="1"/>
    <xf numFmtId="172" fontId="11" fillId="0" borderId="21" xfId="0" applyNumberFormat="1" applyFont="1" applyBorder="1" applyAlignment="1"/>
    <xf numFmtId="181" fontId="19" fillId="0" borderId="21" xfId="1" applyNumberFormat="1" applyFont="1" applyBorder="1" applyAlignment="1"/>
    <xf numFmtId="182" fontId="37" fillId="0" borderId="5" xfId="8" applyNumberFormat="1" applyFont="1" applyBorder="1" applyAlignment="1"/>
    <xf numFmtId="0" fontId="10" fillId="20" borderId="0" xfId="5" applyFont="1" applyFill="1" applyAlignment="1"/>
    <xf numFmtId="176" fontId="37" fillId="4" borderId="5" xfId="0" applyNumberFormat="1" applyFont="1" applyFill="1" applyBorder="1"/>
    <xf numFmtId="176" fontId="37" fillId="4" borderId="11" xfId="0" applyNumberFormat="1" applyFont="1" applyFill="1" applyBorder="1"/>
    <xf numFmtId="176" fontId="37" fillId="4" borderId="21" xfId="0" applyNumberFormat="1" applyFont="1" applyFill="1" applyBorder="1"/>
    <xf numFmtId="176" fontId="37" fillId="4" borderId="4" xfId="0" applyNumberFormat="1" applyFont="1" applyFill="1" applyBorder="1"/>
    <xf numFmtId="176" fontId="36" fillId="12" borderId="5" xfId="0" applyNumberFormat="1" applyFont="1" applyFill="1" applyBorder="1"/>
    <xf numFmtId="180" fontId="13" fillId="0" borderId="21" xfId="5" applyNumberFormat="1" applyFont="1" applyBorder="1"/>
    <xf numFmtId="164" fontId="44" fillId="14" borderId="5" xfId="8" applyNumberFormat="1" applyFont="1" applyFill="1" applyBorder="1" applyAlignment="1"/>
    <xf numFmtId="169" fontId="43" fillId="0" borderId="5" xfId="8" applyNumberFormat="1" applyFont="1" applyBorder="1" applyAlignment="1"/>
    <xf numFmtId="0" fontId="0" fillId="0" borderId="21" xfId="0" applyBorder="1" applyAlignment="1">
      <alignment horizontal="center"/>
    </xf>
    <xf numFmtId="14" fontId="0" fillId="0" borderId="21" xfId="0" applyNumberFormat="1" applyBorder="1" applyAlignment="1">
      <alignment horizontal="center"/>
    </xf>
    <xf numFmtId="0" fontId="0" fillId="0" borderId="21" xfId="0" applyBorder="1" applyAlignment="1">
      <alignment horizontal="left" wrapText="1"/>
    </xf>
    <xf numFmtId="0" fontId="32" fillId="0" borderId="0" xfId="0" applyFont="1" applyAlignment="1">
      <alignment horizontal="center"/>
    </xf>
    <xf numFmtId="0" fontId="0" fillId="0" borderId="0" xfId="0" applyAlignment="1">
      <alignment horizontal="center"/>
    </xf>
    <xf numFmtId="0" fontId="0" fillId="0" borderId="0" xfId="0" applyAlignment="1">
      <alignment horizontal="left" wrapText="1"/>
    </xf>
    <xf numFmtId="0" fontId="0" fillId="0" borderId="0" xfId="0" applyAlignment="1">
      <alignment horizontal="left"/>
    </xf>
    <xf numFmtId="0" fontId="0" fillId="0" borderId="0" xfId="0" applyAlignment="1">
      <alignment horizontal="center" wrapText="1"/>
    </xf>
    <xf numFmtId="0" fontId="10" fillId="20" borderId="0" xfId="5" applyFont="1" applyFill="1" applyAlignment="1">
      <alignment wrapText="1"/>
    </xf>
    <xf numFmtId="0" fontId="10" fillId="20" borderId="0" xfId="5" applyFont="1" applyFill="1" applyAlignment="1"/>
    <xf numFmtId="0" fontId="24" fillId="19" borderId="0" xfId="5" applyFont="1" applyFill="1" applyAlignment="1">
      <alignment horizontal="center"/>
    </xf>
    <xf numFmtId="49" fontId="26" fillId="0" borderId="6" xfId="0" applyNumberFormat="1" applyFont="1" applyBorder="1" applyAlignment="1">
      <alignment horizontal="left" vertical="top"/>
    </xf>
    <xf numFmtId="0" fontId="14" fillId="0" borderId="3" xfId="0" applyFont="1" applyBorder="1"/>
    <xf numFmtId="0" fontId="14" fillId="0" borderId="4" xfId="0" applyFont="1" applyBorder="1"/>
    <xf numFmtId="0" fontId="2" fillId="2" borderId="0" xfId="3" applyAlignment="1">
      <alignment horizontal="center"/>
    </xf>
    <xf numFmtId="49" fontId="0" fillId="0" borderId="6" xfId="0" applyNumberFormat="1" applyFont="1" applyBorder="1" applyAlignment="1">
      <alignment horizontal="left" vertical="top" wrapText="1"/>
    </xf>
    <xf numFmtId="0" fontId="0" fillId="0" borderId="25" xfId="0" applyBorder="1" applyAlignment="1"/>
    <xf numFmtId="0" fontId="0" fillId="0" borderId="26" xfId="0" applyBorder="1" applyAlignment="1"/>
    <xf numFmtId="0" fontId="0" fillId="0" borderId="27" xfId="0" applyBorder="1" applyAlignment="1"/>
    <xf numFmtId="49" fontId="26" fillId="0" borderId="7" xfId="0" applyNumberFormat="1" applyFont="1" applyBorder="1" applyAlignment="1">
      <alignment horizontal="left" vertical="top" wrapText="1"/>
    </xf>
    <xf numFmtId="0" fontId="28" fillId="0" borderId="21" xfId="0" applyFont="1" applyBorder="1" applyAlignment="1"/>
    <xf numFmtId="49" fontId="28" fillId="0" borderId="21" xfId="0" applyNumberFormat="1" applyFont="1" applyBorder="1" applyAlignment="1">
      <alignment horizontal="left" vertical="top"/>
    </xf>
    <xf numFmtId="49" fontId="29" fillId="0" borderId="7" xfId="0" applyNumberFormat="1" applyFont="1" applyBorder="1" applyAlignment="1">
      <alignment horizontal="left" vertical="top" wrapText="1"/>
    </xf>
    <xf numFmtId="49" fontId="26" fillId="0" borderId="8" xfId="0" applyNumberFormat="1" applyFont="1" applyBorder="1" applyAlignment="1">
      <alignment horizontal="left" vertical="top"/>
    </xf>
    <xf numFmtId="0" fontId="14" fillId="0" borderId="9" xfId="0" applyFont="1" applyBorder="1"/>
    <xf numFmtId="49" fontId="14" fillId="0" borderId="6" xfId="5" applyNumberFormat="1" applyFont="1" applyBorder="1" applyAlignment="1">
      <alignment horizontal="left" vertical="top"/>
    </xf>
    <xf numFmtId="0" fontId="14" fillId="0" borderId="3" xfId="5" applyFont="1" applyBorder="1"/>
    <xf numFmtId="0" fontId="14" fillId="0" borderId="4" xfId="5" applyFont="1" applyBorder="1"/>
    <xf numFmtId="49" fontId="10" fillId="0" borderId="8" xfId="5" applyNumberFormat="1" applyFont="1" applyBorder="1" applyAlignment="1">
      <alignment horizontal="left" vertical="top" wrapText="1"/>
    </xf>
    <xf numFmtId="0" fontId="14" fillId="0" borderId="9" xfId="5" applyFont="1" applyBorder="1"/>
    <xf numFmtId="0" fontId="14" fillId="0" borderId="10" xfId="5" applyFont="1" applyBorder="1"/>
    <xf numFmtId="49" fontId="26" fillId="0" borderId="23" xfId="0" applyNumberFormat="1" applyFont="1" applyBorder="1" applyAlignment="1">
      <alignment horizontal="left" vertical="top" wrapText="1"/>
    </xf>
    <xf numFmtId="0" fontId="14" fillId="0" borderId="10" xfId="0" applyFont="1" applyBorder="1"/>
    <xf numFmtId="49" fontId="26" fillId="0" borderId="25" xfId="0" applyNumberFormat="1" applyFont="1" applyBorder="1" applyAlignment="1">
      <alignment horizontal="left" vertical="top"/>
    </xf>
    <xf numFmtId="49" fontId="26" fillId="0" borderId="26" xfId="0" applyNumberFormat="1" applyFont="1" applyBorder="1" applyAlignment="1">
      <alignment horizontal="left" vertical="top"/>
    </xf>
    <xf numFmtId="49" fontId="26" fillId="0" borderId="27" xfId="0" applyNumberFormat="1" applyFont="1" applyBorder="1" applyAlignment="1">
      <alignment horizontal="left" vertical="top"/>
    </xf>
    <xf numFmtId="49" fontId="0" fillId="0" borderId="23" xfId="0" applyNumberFormat="1" applyFont="1" applyBorder="1" applyAlignment="1">
      <alignment horizontal="left" vertical="top" wrapText="1"/>
    </xf>
    <xf numFmtId="49" fontId="0" fillId="0" borderId="21" xfId="0" applyNumberFormat="1" applyFont="1" applyBorder="1" applyAlignment="1">
      <alignment horizontal="left" vertical="top"/>
    </xf>
    <xf numFmtId="49" fontId="0" fillId="5" borderId="6" xfId="0" applyNumberFormat="1" applyFont="1" applyFill="1" applyBorder="1" applyAlignment="1">
      <alignment horizontal="left" vertical="top"/>
    </xf>
    <xf numFmtId="49" fontId="27" fillId="0" borderId="7" xfId="0" applyNumberFormat="1" applyFont="1" applyBorder="1" applyAlignment="1">
      <alignment horizontal="left" vertical="top" wrapText="1"/>
    </xf>
    <xf numFmtId="49" fontId="27" fillId="0" borderId="3" xfId="0" applyNumberFormat="1" applyFont="1" applyBorder="1" applyAlignment="1">
      <alignment horizontal="left" vertical="top" wrapText="1"/>
    </xf>
    <xf numFmtId="49" fontId="27" fillId="0" borderId="4" xfId="0" applyNumberFormat="1" applyFont="1" applyBorder="1" applyAlignment="1">
      <alignment horizontal="left" vertical="top" wrapText="1"/>
    </xf>
    <xf numFmtId="49" fontId="27" fillId="0" borderId="7" xfId="0" applyNumberFormat="1" applyFont="1" applyBorder="1" applyAlignment="1">
      <alignment horizontal="left" vertical="top"/>
    </xf>
    <xf numFmtId="49" fontId="27" fillId="0" borderId="3" xfId="0" applyNumberFormat="1" applyFont="1" applyBorder="1" applyAlignment="1">
      <alignment horizontal="left" vertical="top"/>
    </xf>
    <xf numFmtId="49" fontId="27" fillId="0" borderId="4" xfId="0" applyNumberFormat="1" applyFont="1" applyBorder="1" applyAlignment="1">
      <alignment horizontal="left" vertical="top"/>
    </xf>
    <xf numFmtId="0" fontId="27" fillId="0" borderId="7" xfId="0" applyFont="1" applyBorder="1" applyAlignment="1"/>
    <xf numFmtId="0" fontId="27" fillId="0" borderId="3" xfId="0" applyFont="1" applyBorder="1" applyAlignment="1"/>
    <xf numFmtId="0" fontId="27" fillId="0" borderId="4" xfId="0" applyFont="1" applyBorder="1" applyAlignment="1"/>
    <xf numFmtId="49" fontId="27" fillId="0" borderId="23" xfId="0" applyNumberFormat="1" applyFont="1" applyBorder="1" applyAlignment="1">
      <alignment horizontal="left" vertical="top"/>
    </xf>
    <xf numFmtId="49" fontId="27" fillId="0" borderId="21" xfId="0" applyNumberFormat="1" applyFont="1" applyBorder="1" applyAlignment="1">
      <alignment horizontal="left" vertical="top"/>
    </xf>
    <xf numFmtId="0" fontId="27" fillId="0" borderId="21" xfId="0" applyFont="1" applyBorder="1"/>
    <xf numFmtId="49" fontId="0" fillId="5" borderId="13" xfId="0" applyNumberFormat="1" applyFont="1" applyFill="1" applyBorder="1" applyAlignment="1">
      <alignment horizontal="left" vertical="top" wrapText="1"/>
    </xf>
    <xf numFmtId="0" fontId="14" fillId="0" borderId="14" xfId="0" applyFont="1" applyBorder="1"/>
    <xf numFmtId="0" fontId="14" fillId="0" borderId="15" xfId="0" applyFont="1" applyBorder="1"/>
    <xf numFmtId="49" fontId="27" fillId="0" borderId="25" xfId="0" applyNumberFormat="1" applyFont="1" applyBorder="1" applyAlignment="1">
      <alignment horizontal="left" vertical="top"/>
    </xf>
    <xf numFmtId="49" fontId="27" fillId="0" borderId="26" xfId="0" applyNumberFormat="1" applyFont="1" applyBorder="1" applyAlignment="1">
      <alignment horizontal="left" vertical="top"/>
    </xf>
    <xf numFmtId="49" fontId="27" fillId="0" borderId="27" xfId="0" applyNumberFormat="1" applyFont="1" applyBorder="1" applyAlignment="1">
      <alignment horizontal="left" vertical="top"/>
    </xf>
    <xf numFmtId="0" fontId="0" fillId="0" borderId="6" xfId="0" applyFont="1" applyBorder="1" applyAlignment="1">
      <alignment horizontal="right"/>
    </xf>
    <xf numFmtId="0" fontId="0" fillId="0" borderId="3" xfId="0" applyFont="1" applyBorder="1" applyAlignment="1">
      <alignment horizontal="right"/>
    </xf>
    <xf numFmtId="49" fontId="0" fillId="5" borderId="3" xfId="0" applyNumberFormat="1" applyFont="1" applyFill="1" applyBorder="1" applyAlignment="1">
      <alignment horizontal="left" vertical="top"/>
    </xf>
    <xf numFmtId="49" fontId="0" fillId="5" borderId="4" xfId="0" applyNumberFormat="1" applyFont="1" applyFill="1" applyBorder="1" applyAlignment="1">
      <alignment horizontal="left" vertical="top"/>
    </xf>
    <xf numFmtId="49" fontId="0" fillId="5" borderId="17" xfId="0" applyNumberFormat="1" applyFont="1" applyFill="1" applyBorder="1" applyAlignment="1">
      <alignment horizontal="left" vertical="top"/>
    </xf>
    <xf numFmtId="0" fontId="14" fillId="0" borderId="18" xfId="0" applyFont="1" applyBorder="1"/>
    <xf numFmtId="0" fontId="14" fillId="0" borderId="19" xfId="0" applyFont="1" applyBorder="1"/>
    <xf numFmtId="0" fontId="0" fillId="0" borderId="21" xfId="0" applyBorder="1"/>
    <xf numFmtId="0" fontId="22" fillId="0" borderId="6" xfId="0" applyFont="1" applyBorder="1" applyAlignment="1">
      <alignment horizontal="right"/>
    </xf>
    <xf numFmtId="0" fontId="22" fillId="0" borderId="28" xfId="0" applyFont="1" applyBorder="1" applyAlignment="1">
      <alignment horizontal="right"/>
    </xf>
    <xf numFmtId="0" fontId="22" fillId="0" borderId="4" xfId="0" applyFont="1" applyBorder="1" applyAlignment="1">
      <alignment horizontal="right"/>
    </xf>
    <xf numFmtId="49" fontId="37" fillId="14" borderId="7" xfId="8" applyNumberFormat="1" applyFont="1" applyFill="1" applyBorder="1" applyAlignment="1">
      <alignment horizontal="left" vertical="top" wrapText="1"/>
    </xf>
    <xf numFmtId="0" fontId="10" fillId="0" borderId="3" xfId="8" applyFont="1" applyBorder="1"/>
    <xf numFmtId="0" fontId="10" fillId="0" borderId="4" xfId="8" applyFont="1" applyBorder="1"/>
    <xf numFmtId="49" fontId="37" fillId="4" borderId="7" xfId="8" applyNumberFormat="1" applyFont="1" applyFill="1" applyBorder="1" applyAlignment="1">
      <alignment horizontal="left" vertical="top" wrapText="1"/>
    </xf>
    <xf numFmtId="0" fontId="6" fillId="0" borderId="21" xfId="8" applyBorder="1"/>
    <xf numFmtId="49" fontId="37" fillId="0" borderId="7" xfId="8" applyNumberFormat="1" applyFont="1" applyBorder="1" applyAlignment="1">
      <alignment horizontal="left" vertical="top" wrapText="1"/>
    </xf>
    <xf numFmtId="49" fontId="37" fillId="0" borderId="7" xfId="8" applyNumberFormat="1" applyFont="1" applyBorder="1" applyAlignment="1">
      <alignment horizontal="left" vertical="top"/>
    </xf>
    <xf numFmtId="49" fontId="39" fillId="17" borderId="3" xfId="8" applyNumberFormat="1" applyFont="1" applyFill="1" applyBorder="1" applyAlignment="1">
      <alignment vertical="top" wrapText="1"/>
    </xf>
    <xf numFmtId="49" fontId="39" fillId="17" borderId="4" xfId="8" applyNumberFormat="1" applyFont="1" applyFill="1" applyBorder="1" applyAlignment="1">
      <alignment vertical="top" wrapText="1"/>
    </xf>
    <xf numFmtId="49" fontId="39" fillId="18" borderId="21" xfId="8" applyNumberFormat="1" applyFont="1" applyFill="1" applyBorder="1" applyAlignment="1">
      <alignment horizontal="left" vertical="top" wrapText="1"/>
    </xf>
    <xf numFmtId="49" fontId="37" fillId="5" borderId="13" xfId="8" applyNumberFormat="1" applyFont="1" applyFill="1" applyBorder="1" applyAlignment="1">
      <alignment horizontal="left" vertical="top" wrapText="1"/>
    </xf>
    <xf numFmtId="0" fontId="10" fillId="0" borderId="14" xfId="8" applyFont="1" applyBorder="1"/>
    <xf numFmtId="0" fontId="10" fillId="0" borderId="15" xfId="8" applyFont="1" applyBorder="1"/>
    <xf numFmtId="49" fontId="37" fillId="5" borderId="8" xfId="8" applyNumberFormat="1" applyFont="1" applyFill="1" applyBorder="1" applyAlignment="1">
      <alignment horizontal="left" vertical="top"/>
    </xf>
    <xf numFmtId="0" fontId="10" fillId="0" borderId="9" xfId="8" applyFont="1" applyBorder="1"/>
    <xf numFmtId="0" fontId="10" fillId="0" borderId="10" xfId="8" applyFont="1" applyBorder="1"/>
    <xf numFmtId="49" fontId="37" fillId="5" borderId="21" xfId="8" applyNumberFormat="1" applyFont="1" applyFill="1" applyBorder="1" applyAlignment="1">
      <alignment horizontal="left" vertical="top"/>
    </xf>
    <xf numFmtId="0" fontId="37" fillId="4" borderId="7" xfId="8" applyFont="1" applyFill="1" applyBorder="1" applyAlignment="1">
      <alignment horizontal="left" wrapText="1"/>
    </xf>
    <xf numFmtId="49" fontId="44" fillId="14" borderId="6" xfId="8" applyNumberFormat="1" applyFont="1" applyFill="1" applyBorder="1" applyAlignment="1">
      <alignment horizontal="left" vertical="top" wrapText="1"/>
    </xf>
    <xf numFmtId="49" fontId="37" fillId="0" borderId="6" xfId="8" applyNumberFormat="1" applyFont="1" applyBorder="1" applyAlignment="1">
      <alignment horizontal="left" vertical="top"/>
    </xf>
    <xf numFmtId="49" fontId="37" fillId="0" borderId="8" xfId="8" applyNumberFormat="1" applyFont="1" applyBorder="1" applyAlignment="1">
      <alignment horizontal="left" vertical="top" wrapText="1"/>
    </xf>
    <xf numFmtId="49" fontId="39" fillId="15" borderId="7" xfId="8" applyNumberFormat="1" applyFont="1" applyFill="1" applyBorder="1" applyAlignment="1">
      <alignment horizontal="left" vertical="top" wrapText="1"/>
    </xf>
    <xf numFmtId="49" fontId="39" fillId="16" borderId="7" xfId="8" applyNumberFormat="1" applyFont="1" applyFill="1" applyBorder="1" applyAlignment="1">
      <alignment horizontal="left" vertical="top" wrapText="1"/>
    </xf>
    <xf numFmtId="49" fontId="39" fillId="12" borderId="7" xfId="8" applyNumberFormat="1" applyFont="1" applyFill="1" applyBorder="1" applyAlignment="1">
      <alignment vertical="top" wrapText="1"/>
    </xf>
    <xf numFmtId="49" fontId="39" fillId="12" borderId="3" xfId="8" applyNumberFormat="1" applyFont="1" applyFill="1" applyBorder="1" applyAlignment="1">
      <alignment vertical="top" wrapText="1"/>
    </xf>
    <xf numFmtId="49" fontId="44" fillId="14" borderId="7" xfId="8" applyNumberFormat="1" applyFont="1" applyFill="1" applyBorder="1" applyAlignment="1">
      <alignment horizontal="left" vertical="top" wrapText="1"/>
    </xf>
    <xf numFmtId="49" fontId="37" fillId="0" borderId="6" xfId="8" applyNumberFormat="1" applyFont="1" applyBorder="1" applyAlignment="1">
      <alignment horizontal="left" vertical="top" wrapText="1"/>
    </xf>
    <xf numFmtId="49" fontId="44" fillId="14" borderId="7" xfId="8" applyNumberFormat="1" applyFont="1" applyFill="1" applyBorder="1" applyAlignment="1">
      <alignment horizontal="left" vertical="top"/>
    </xf>
    <xf numFmtId="0" fontId="39" fillId="5" borderId="0" xfId="8" applyFont="1" applyFill="1" applyAlignment="1">
      <alignment wrapText="1"/>
    </xf>
    <xf numFmtId="0" fontId="6" fillId="0" borderId="0" xfId="8" applyFont="1" applyAlignment="1"/>
    <xf numFmtId="49" fontId="39" fillId="0" borderId="0" xfId="8" applyNumberFormat="1" applyFont="1" applyAlignment="1">
      <alignment horizontal="left" vertical="top"/>
    </xf>
    <xf numFmtId="0" fontId="37" fillId="0" borderId="3" xfId="8" applyFont="1" applyBorder="1" applyAlignment="1">
      <alignment horizontal="left" vertical="top" wrapText="1"/>
    </xf>
    <xf numFmtId="0" fontId="36" fillId="0" borderId="21" xfId="8" applyFont="1" applyBorder="1" applyAlignment="1"/>
  </cellXfs>
  <cellStyles count="9">
    <cellStyle name="Hyperlinkki" xfId="4" builtinId="8"/>
    <cellStyle name="Hyperlinkki 2" xfId="6" xr:uid="{0398B2F8-8385-4A8E-92C4-87CCCA94BFE5}"/>
    <cellStyle name="Hyvä" xfId="3" builtinId="26"/>
    <cellStyle name="Normaali" xfId="0" builtinId="0"/>
    <cellStyle name="Normaali 2" xfId="5" xr:uid="{DDC5A503-C893-4762-B34F-F7DFCD048885}"/>
    <cellStyle name="Normaali 3" xfId="7" xr:uid="{224C039B-BA8F-47A0-9786-EBDC7268E006}"/>
    <cellStyle name="Normaali 4" xfId="8" xr:uid="{9E69AFA1-D646-480F-BBEA-5B6AC863C89E}"/>
    <cellStyle name="Prosenttia" xfId="2" builtinId="5"/>
    <cellStyle name="Valuutta" xfId="1" builtinId="4"/>
  </cellStyles>
  <dxfs count="2">
    <dxf>
      <font>
        <color rgb="FF006100"/>
      </font>
      <fill>
        <patternFill patternType="solid">
          <fgColor rgb="FFC6EFCE"/>
          <bgColor rgb="FFC6EFCE"/>
        </patternFill>
      </fill>
      <alignment wrapText="0" shrinkToFit="0"/>
      <border>
        <left/>
        <right/>
        <top/>
        <bottom/>
      </border>
    </dxf>
    <dxf>
      <font>
        <color rgb="FF006100"/>
      </font>
      <fill>
        <patternFill patternType="solid">
          <fgColor rgb="FFC6EFCE"/>
          <bgColor rgb="FFC6EFCE"/>
        </patternFill>
      </fill>
      <alignment wrapText="0" shrinkToFit="0"/>
      <border>
        <left/>
        <right/>
        <top/>
        <bottom/>
      </border>
    </dxf>
  </dxfs>
  <tableStyles count="0" defaultTableStyle="TableStyleMedium2" defaultPivotStyle="PivotStyleLight16"/>
  <colors>
    <mruColors>
      <color rgb="FF99FF99"/>
      <color rgb="FF66FF33"/>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Kumulatiivisten</a:t>
            </a:r>
            <a:r>
              <a:rPr lang="fi-FI" baseline="0"/>
              <a:t> kulujen vertailu</a:t>
            </a:r>
            <a:endParaRPr lang="fi-F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0"/>
          <c:order val="0"/>
          <c:tx>
            <c:strRef>
              <c:f>'IVLP 20v kannattavuus'!$U$37</c:f>
              <c:strCache>
                <c:ptCount val="1"/>
                <c:pt idx="0">
                  <c:v>Nykyjärjestelmän kumulatiivinen kulu</c:v>
                </c:pt>
              </c:strCache>
            </c:strRef>
          </c:tx>
          <c:spPr>
            <a:ln w="28575" cap="rnd">
              <a:solidFill>
                <a:schemeClr val="accent1"/>
              </a:solidFill>
              <a:round/>
            </a:ln>
            <a:effectLst/>
          </c:spPr>
          <c:marker>
            <c:symbol val="none"/>
          </c:marker>
          <c:val>
            <c:numRef>
              <c:f>'IVLP 20v kannattavuus'!$U$38:$U$58</c:f>
              <c:numCache>
                <c:formatCode>#\ ##0\ "€"</c:formatCode>
                <c:ptCount val="21"/>
                <c:pt idx="0">
                  <c:v>1680</c:v>
                </c:pt>
                <c:pt idx="1">
                  <c:v>3376.8</c:v>
                </c:pt>
                <c:pt idx="2">
                  <c:v>5090.5680000000002</c:v>
                </c:pt>
                <c:pt idx="3">
                  <c:v>6821.4736800000001</c:v>
                </c:pt>
                <c:pt idx="4">
                  <c:v>8569.6884167999997</c:v>
                </c:pt>
                <c:pt idx="5">
                  <c:v>10335.385300967999</c:v>
                </c:pt>
                <c:pt idx="6">
                  <c:v>12118.739153977678</c:v>
                </c:pt>
                <c:pt idx="7">
                  <c:v>13919.926545517455</c:v>
                </c:pt>
                <c:pt idx="8">
                  <c:v>15739.12581097263</c:v>
                </c:pt>
                <c:pt idx="9">
                  <c:v>17576.517069082354</c:v>
                </c:pt>
                <c:pt idx="10">
                  <c:v>19432.28223977318</c:v>
                </c:pt>
                <c:pt idx="11">
                  <c:v>21306.605062170911</c:v>
                </c:pt>
                <c:pt idx="12">
                  <c:v>23199.671112792621</c:v>
                </c:pt>
                <c:pt idx="13">
                  <c:v>25111.667823920547</c:v>
                </c:pt>
                <c:pt idx="14">
                  <c:v>27042.784502159753</c:v>
                </c:pt>
                <c:pt idx="15">
                  <c:v>28993.21234718135</c:v>
                </c:pt>
                <c:pt idx="16">
                  <c:v>30963.144470653162</c:v>
                </c:pt>
                <c:pt idx="17">
                  <c:v>32952.775915359693</c:v>
                </c:pt>
                <c:pt idx="18">
                  <c:v>34962.303674513292</c:v>
                </c:pt>
                <c:pt idx="19">
                  <c:v>36991.926711258428</c:v>
                </c:pt>
                <c:pt idx="20">
                  <c:v>39041.845978371013</c:v>
                </c:pt>
              </c:numCache>
            </c:numRef>
          </c:val>
          <c:smooth val="0"/>
          <c:extLst>
            <c:ext xmlns:c16="http://schemas.microsoft.com/office/drawing/2014/chart" uri="{C3380CC4-5D6E-409C-BE32-E72D297353CC}">
              <c16:uniqueId val="{00000000-F3B7-4EFF-B3A0-CD20307F9FC0}"/>
            </c:ext>
          </c:extLst>
        </c:ser>
        <c:ser>
          <c:idx val="1"/>
          <c:order val="1"/>
          <c:tx>
            <c:strRef>
              <c:f>'IVLP 20v kannattavuus'!$V$37</c:f>
              <c:strCache>
                <c:ptCount val="1"/>
                <c:pt idx="0">
                  <c:v>Uuden järjestelmän kumulatiivinen kulu</c:v>
                </c:pt>
              </c:strCache>
            </c:strRef>
          </c:tx>
          <c:spPr>
            <a:ln w="28575" cap="rnd">
              <a:solidFill>
                <a:schemeClr val="accent2"/>
              </a:solidFill>
              <a:round/>
            </a:ln>
            <a:effectLst/>
          </c:spPr>
          <c:marker>
            <c:symbol val="none"/>
          </c:marker>
          <c:val>
            <c:numRef>
              <c:f>'IVLP 20v kannattavuus'!$V$38:$V$58</c:f>
              <c:numCache>
                <c:formatCode>#\ ##0\ "€"</c:formatCode>
                <c:ptCount val="21"/>
                <c:pt idx="0">
                  <c:v>1000</c:v>
                </c:pt>
                <c:pt idx="1">
                  <c:v>2299.1999999999998</c:v>
                </c:pt>
                <c:pt idx="2">
                  <c:v>3598.3999999999996</c:v>
                </c:pt>
                <c:pt idx="3">
                  <c:v>4897.5999999999995</c:v>
                </c:pt>
                <c:pt idx="4">
                  <c:v>6196.7999999999993</c:v>
                </c:pt>
                <c:pt idx="5">
                  <c:v>7495.9999999999991</c:v>
                </c:pt>
                <c:pt idx="6">
                  <c:v>8795.1999999999989</c:v>
                </c:pt>
                <c:pt idx="7">
                  <c:v>10094.4</c:v>
                </c:pt>
                <c:pt idx="8">
                  <c:v>11393.6</c:v>
                </c:pt>
                <c:pt idx="9">
                  <c:v>12692.800000000001</c:v>
                </c:pt>
                <c:pt idx="10">
                  <c:v>13992.000000000002</c:v>
                </c:pt>
                <c:pt idx="11">
                  <c:v>15291.200000000003</c:v>
                </c:pt>
                <c:pt idx="12">
                  <c:v>16590.400000000001</c:v>
                </c:pt>
                <c:pt idx="13">
                  <c:v>17889.600000000002</c:v>
                </c:pt>
                <c:pt idx="14">
                  <c:v>19188.800000000003</c:v>
                </c:pt>
                <c:pt idx="15">
                  <c:v>20488.000000000004</c:v>
                </c:pt>
                <c:pt idx="16">
                  <c:v>21787.200000000004</c:v>
                </c:pt>
                <c:pt idx="17">
                  <c:v>23086.400000000005</c:v>
                </c:pt>
                <c:pt idx="18">
                  <c:v>24385.600000000006</c:v>
                </c:pt>
                <c:pt idx="19">
                  <c:v>25684.800000000007</c:v>
                </c:pt>
                <c:pt idx="20">
                  <c:v>26984.000000000007</c:v>
                </c:pt>
              </c:numCache>
            </c:numRef>
          </c:val>
          <c:smooth val="0"/>
          <c:extLst>
            <c:ext xmlns:c16="http://schemas.microsoft.com/office/drawing/2014/chart" uri="{C3380CC4-5D6E-409C-BE32-E72D297353CC}">
              <c16:uniqueId val="{00000001-F3B7-4EFF-B3A0-CD20307F9FC0}"/>
            </c:ext>
          </c:extLst>
        </c:ser>
        <c:dLbls>
          <c:showLegendKey val="0"/>
          <c:showVal val="0"/>
          <c:showCatName val="0"/>
          <c:showSerName val="0"/>
          <c:showPercent val="0"/>
          <c:showBubbleSize val="0"/>
        </c:dLbls>
        <c:smooth val="0"/>
        <c:axId val="1898058704"/>
        <c:axId val="1903332048"/>
      </c:lineChart>
      <c:catAx>
        <c:axId val="1898058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903332048"/>
        <c:crosses val="autoZero"/>
        <c:auto val="1"/>
        <c:lblAlgn val="ctr"/>
        <c:lblOffset val="100"/>
        <c:noMultiLvlLbl val="0"/>
      </c:catAx>
      <c:valAx>
        <c:axId val="1903332048"/>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898058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Kumulatiivisten</a:t>
            </a:r>
            <a:r>
              <a:rPr lang="fi-FI" baseline="0"/>
              <a:t> kulujen</a:t>
            </a:r>
            <a:r>
              <a:rPr lang="fi-FI"/>
              <a:t> vertailu</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lineChart>
        <c:grouping val="standard"/>
        <c:varyColors val="0"/>
        <c:ser>
          <c:idx val="0"/>
          <c:order val="0"/>
          <c:tx>
            <c:strRef>
              <c:f>'MLP 25v kannattavuus'!$U$37</c:f>
              <c:strCache>
                <c:ptCount val="1"/>
                <c:pt idx="0">
                  <c:v>Nykyjärjestelmän kumulatiivinen kulu</c:v>
                </c:pt>
              </c:strCache>
            </c:strRef>
          </c:tx>
          <c:spPr>
            <a:ln w="28575" cap="rnd">
              <a:solidFill>
                <a:schemeClr val="accent1"/>
              </a:solidFill>
              <a:round/>
            </a:ln>
            <a:effectLst/>
          </c:spPr>
          <c:marker>
            <c:symbol val="none"/>
          </c:marker>
          <c:val>
            <c:numRef>
              <c:f>'MLP 25v kannattavuus'!$U$38:$U$63</c:f>
              <c:numCache>
                <c:formatCode>#\ ##0\ "€"</c:formatCode>
                <c:ptCount val="26"/>
                <c:pt idx="0">
                  <c:v>1680</c:v>
                </c:pt>
                <c:pt idx="1">
                  <c:v>3376.8</c:v>
                </c:pt>
                <c:pt idx="2">
                  <c:v>5090.5680000000002</c:v>
                </c:pt>
                <c:pt idx="3">
                  <c:v>6821.4736800000001</c:v>
                </c:pt>
                <c:pt idx="4">
                  <c:v>8569.6884167999997</c:v>
                </c:pt>
                <c:pt idx="5">
                  <c:v>10335.385300967999</c:v>
                </c:pt>
                <c:pt idx="6">
                  <c:v>12118.739153977678</c:v>
                </c:pt>
                <c:pt idx="7">
                  <c:v>13919.926545517455</c:v>
                </c:pt>
                <c:pt idx="8">
                  <c:v>15739.12581097263</c:v>
                </c:pt>
                <c:pt idx="9">
                  <c:v>17576.517069082354</c:v>
                </c:pt>
                <c:pt idx="10">
                  <c:v>19432.28223977318</c:v>
                </c:pt>
                <c:pt idx="11">
                  <c:v>21306.605062170911</c:v>
                </c:pt>
                <c:pt idx="12">
                  <c:v>23199.671112792621</c:v>
                </c:pt>
                <c:pt idx="13">
                  <c:v>25111.667823920547</c:v>
                </c:pt>
                <c:pt idx="14">
                  <c:v>27042.784502159753</c:v>
                </c:pt>
                <c:pt idx="15">
                  <c:v>28993.21234718135</c:v>
                </c:pt>
                <c:pt idx="16">
                  <c:v>30963.144470653162</c:v>
                </c:pt>
                <c:pt idx="17">
                  <c:v>32952.775915359693</c:v>
                </c:pt>
                <c:pt idx="18">
                  <c:v>34962.303674513292</c:v>
                </c:pt>
                <c:pt idx="19">
                  <c:v>36991.926711258428</c:v>
                </c:pt>
                <c:pt idx="20">
                  <c:v>39041.845978371013</c:v>
                </c:pt>
                <c:pt idx="21">
                  <c:v>41112.264438154722</c:v>
                </c:pt>
                <c:pt idx="22">
                  <c:v>43203.387082536268</c:v>
                </c:pt>
                <c:pt idx="23">
                  <c:v>45315.42095336163</c:v>
                </c:pt>
                <c:pt idx="24">
                  <c:v>47448.575162895249</c:v>
                </c:pt>
                <c:pt idx="25">
                  <c:v>49603.060914524205</c:v>
                </c:pt>
              </c:numCache>
            </c:numRef>
          </c:val>
          <c:smooth val="0"/>
          <c:extLst>
            <c:ext xmlns:c16="http://schemas.microsoft.com/office/drawing/2014/chart" uri="{C3380CC4-5D6E-409C-BE32-E72D297353CC}">
              <c16:uniqueId val="{00000000-3019-4221-990D-1DC98350F5AD}"/>
            </c:ext>
          </c:extLst>
        </c:ser>
        <c:ser>
          <c:idx val="1"/>
          <c:order val="1"/>
          <c:tx>
            <c:strRef>
              <c:f>'MLP 25v kannattavuus'!$V$37</c:f>
              <c:strCache>
                <c:ptCount val="1"/>
                <c:pt idx="0">
                  <c:v>Uuden järjestelmän kumulatiivinen kulu</c:v>
                </c:pt>
              </c:strCache>
            </c:strRef>
          </c:tx>
          <c:spPr>
            <a:ln w="28575" cap="rnd">
              <a:solidFill>
                <a:schemeClr val="accent2"/>
              </a:solidFill>
              <a:round/>
            </a:ln>
            <a:effectLst/>
          </c:spPr>
          <c:marker>
            <c:symbol val="none"/>
          </c:marker>
          <c:val>
            <c:numRef>
              <c:f>'MLP 25v kannattavuus'!$V$38:$V$63</c:f>
              <c:numCache>
                <c:formatCode>#\ ##0\ "€"</c:formatCode>
                <c:ptCount val="26"/>
                <c:pt idx="0">
                  <c:v>8005</c:v>
                </c:pt>
                <c:pt idx="1">
                  <c:v>8766.6</c:v>
                </c:pt>
                <c:pt idx="2">
                  <c:v>9528.2000000000007</c:v>
                </c:pt>
                <c:pt idx="3">
                  <c:v>10289.800000000001</c:v>
                </c:pt>
                <c:pt idx="4">
                  <c:v>11051.400000000001</c:v>
                </c:pt>
                <c:pt idx="5">
                  <c:v>11813.000000000002</c:v>
                </c:pt>
                <c:pt idx="6">
                  <c:v>12574.600000000002</c:v>
                </c:pt>
                <c:pt idx="7">
                  <c:v>13336.200000000003</c:v>
                </c:pt>
                <c:pt idx="8">
                  <c:v>14097.800000000003</c:v>
                </c:pt>
                <c:pt idx="9">
                  <c:v>14859.400000000003</c:v>
                </c:pt>
                <c:pt idx="10">
                  <c:v>15621.000000000004</c:v>
                </c:pt>
                <c:pt idx="11">
                  <c:v>16382.600000000004</c:v>
                </c:pt>
                <c:pt idx="12">
                  <c:v>17144.200000000004</c:v>
                </c:pt>
                <c:pt idx="13">
                  <c:v>17905.800000000003</c:v>
                </c:pt>
                <c:pt idx="14">
                  <c:v>18667.400000000001</c:v>
                </c:pt>
                <c:pt idx="15">
                  <c:v>19429</c:v>
                </c:pt>
                <c:pt idx="16">
                  <c:v>20190.599999999999</c:v>
                </c:pt>
                <c:pt idx="17">
                  <c:v>20952.199999999997</c:v>
                </c:pt>
                <c:pt idx="18">
                  <c:v>21713.799999999996</c:v>
                </c:pt>
                <c:pt idx="19">
                  <c:v>22475.399999999994</c:v>
                </c:pt>
                <c:pt idx="20">
                  <c:v>23236.999999999993</c:v>
                </c:pt>
                <c:pt idx="21">
                  <c:v>23998.599999999991</c:v>
                </c:pt>
                <c:pt idx="22">
                  <c:v>24760.19999999999</c:v>
                </c:pt>
                <c:pt idx="23">
                  <c:v>25521.799999999988</c:v>
                </c:pt>
                <c:pt idx="24">
                  <c:v>26283.399999999987</c:v>
                </c:pt>
                <c:pt idx="25">
                  <c:v>27044.999999999985</c:v>
                </c:pt>
              </c:numCache>
            </c:numRef>
          </c:val>
          <c:smooth val="0"/>
          <c:extLst>
            <c:ext xmlns:c16="http://schemas.microsoft.com/office/drawing/2014/chart" uri="{C3380CC4-5D6E-409C-BE32-E72D297353CC}">
              <c16:uniqueId val="{00000001-3019-4221-990D-1DC98350F5AD}"/>
            </c:ext>
          </c:extLst>
        </c:ser>
        <c:dLbls>
          <c:showLegendKey val="0"/>
          <c:showVal val="0"/>
          <c:showCatName val="0"/>
          <c:showSerName val="0"/>
          <c:showPercent val="0"/>
          <c:showBubbleSize val="0"/>
        </c:dLbls>
        <c:smooth val="0"/>
        <c:axId val="1893280064"/>
        <c:axId val="1902689504"/>
      </c:lineChart>
      <c:catAx>
        <c:axId val="1893280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902689504"/>
        <c:crosses val="autoZero"/>
        <c:auto val="1"/>
        <c:lblAlgn val="ctr"/>
        <c:lblOffset val="100"/>
        <c:noMultiLvlLbl val="0"/>
      </c:catAx>
      <c:valAx>
        <c:axId val="1902689504"/>
        <c:scaling>
          <c:orientation val="minMax"/>
        </c:scaling>
        <c:delete val="0"/>
        <c:axPos val="l"/>
        <c:majorGridlines>
          <c:spPr>
            <a:ln w="9525" cap="flat" cmpd="sng" algn="ctr">
              <a:solidFill>
                <a:schemeClr val="tx1">
                  <a:lumMod val="15000"/>
                  <a:lumOff val="85000"/>
                </a:schemeClr>
              </a:solidFill>
              <a:round/>
            </a:ln>
            <a:effectLst/>
          </c:spPr>
        </c:majorGridlines>
        <c:numFmt formatCode="#\ ##0\ &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893280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solidFill>
                  <a:schemeClr val="accent1"/>
                </a:solidFill>
              </a:rPr>
              <a:t>Kulutus</a:t>
            </a:r>
            <a:r>
              <a:rPr lang="fi-FI" baseline="0"/>
              <a:t> vs Tuotanto</a:t>
            </a:r>
            <a:endParaRPr lang="fi-F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strRef>
              <c:f>'PV 30v kannattavuus 3'!$C$101</c:f>
              <c:strCache>
                <c:ptCount val="1"/>
                <c:pt idx="0">
                  <c:v>Kiinteistön kuukausikohtainen sähkönkulutus kWh/kk</c:v>
                </c:pt>
              </c:strCache>
            </c:strRef>
          </c:tx>
          <c:spPr>
            <a:solidFill>
              <a:schemeClr val="accent1"/>
            </a:solidFill>
            <a:ln>
              <a:noFill/>
            </a:ln>
            <a:effectLst/>
          </c:spPr>
          <c:invertIfNegative val="0"/>
          <c:val>
            <c:numRef>
              <c:f>'PV 30v kannattavuus 3'!$C$102:$C$113</c:f>
              <c:numCache>
                <c:formatCode>0</c:formatCode>
                <c:ptCount val="12"/>
                <c:pt idx="0">
                  <c:v>1107</c:v>
                </c:pt>
                <c:pt idx="1">
                  <c:v>1107</c:v>
                </c:pt>
                <c:pt idx="2">
                  <c:v>1033.2</c:v>
                </c:pt>
                <c:pt idx="3">
                  <c:v>1033.2</c:v>
                </c:pt>
                <c:pt idx="4">
                  <c:v>971.7</c:v>
                </c:pt>
                <c:pt idx="5">
                  <c:v>861.00000000000011</c:v>
                </c:pt>
                <c:pt idx="6">
                  <c:v>861.00000000000011</c:v>
                </c:pt>
                <c:pt idx="7">
                  <c:v>971.7</c:v>
                </c:pt>
                <c:pt idx="8">
                  <c:v>1033.2</c:v>
                </c:pt>
                <c:pt idx="9">
                  <c:v>1107</c:v>
                </c:pt>
                <c:pt idx="10">
                  <c:v>1107</c:v>
                </c:pt>
                <c:pt idx="11">
                  <c:v>1107</c:v>
                </c:pt>
              </c:numCache>
            </c:numRef>
          </c:val>
          <c:extLst>
            <c:ext xmlns:c16="http://schemas.microsoft.com/office/drawing/2014/chart" uri="{C3380CC4-5D6E-409C-BE32-E72D297353CC}">
              <c16:uniqueId val="{00000000-F084-497E-980B-CC1BA26F316B}"/>
            </c:ext>
          </c:extLst>
        </c:ser>
        <c:ser>
          <c:idx val="4"/>
          <c:order val="4"/>
          <c:tx>
            <c:strRef>
              <c:f>'PV 30v kannattavuus 3'!$G$101</c:f>
              <c:strCache>
                <c:ptCount val="1"/>
                <c:pt idx="0">
                  <c:v>Aurinkosähkön tuotanto kWh/kk</c:v>
                </c:pt>
              </c:strCache>
            </c:strRef>
          </c:tx>
          <c:spPr>
            <a:solidFill>
              <a:schemeClr val="accent3">
                <a:lumMod val="60000"/>
              </a:schemeClr>
            </a:solidFill>
            <a:ln>
              <a:noFill/>
            </a:ln>
            <a:effectLst/>
          </c:spPr>
          <c:invertIfNegative val="0"/>
          <c:val>
            <c:numRef>
              <c:f>'PV 30v kannattavuus 3'!$G$102:$G$113</c:f>
              <c:numCache>
                <c:formatCode>0</c:formatCode>
                <c:ptCount val="12"/>
                <c:pt idx="0">
                  <c:v>28.938623999999997</c:v>
                </c:pt>
                <c:pt idx="1">
                  <c:v>89.849760000000003</c:v>
                </c:pt>
                <c:pt idx="2">
                  <c:v>220.65700799999999</c:v>
                </c:pt>
                <c:pt idx="3">
                  <c:v>346.56335999999999</c:v>
                </c:pt>
                <c:pt idx="4">
                  <c:v>489.24361199999998</c:v>
                </c:pt>
                <c:pt idx="5">
                  <c:v>492.71507999999994</c:v>
                </c:pt>
                <c:pt idx="6">
                  <c:v>506.42591999999996</c:v>
                </c:pt>
                <c:pt idx="7">
                  <c:v>369.87178799999992</c:v>
                </c:pt>
                <c:pt idx="8">
                  <c:v>222.29064</c:v>
                </c:pt>
                <c:pt idx="9">
                  <c:v>106.71117599999998</c:v>
                </c:pt>
                <c:pt idx="10">
                  <c:v>43.757999999999996</c:v>
                </c:pt>
                <c:pt idx="11">
                  <c:v>18.086639999999999</c:v>
                </c:pt>
              </c:numCache>
            </c:numRef>
          </c:val>
          <c:extLst>
            <c:ext xmlns:c16="http://schemas.microsoft.com/office/drawing/2014/chart" uri="{C3380CC4-5D6E-409C-BE32-E72D297353CC}">
              <c16:uniqueId val="{00000001-F084-497E-980B-CC1BA26F316B}"/>
            </c:ext>
          </c:extLst>
        </c:ser>
        <c:dLbls>
          <c:showLegendKey val="0"/>
          <c:showVal val="0"/>
          <c:showCatName val="0"/>
          <c:showSerName val="0"/>
          <c:showPercent val="0"/>
          <c:showBubbleSize val="0"/>
        </c:dLbls>
        <c:gapWidth val="219"/>
        <c:overlap val="-27"/>
        <c:axId val="1809982607"/>
        <c:axId val="163268895"/>
        <c:extLst>
          <c:ext xmlns:c15="http://schemas.microsoft.com/office/drawing/2012/chart" uri="{02D57815-91ED-43cb-92C2-25804820EDAC}">
            <c15:filteredBarSeries>
              <c15:ser>
                <c:idx val="1"/>
                <c:order val="1"/>
                <c:tx>
                  <c:strRef>
                    <c:extLst>
                      <c:ext uri="{02D57815-91ED-43cb-92C2-25804820EDAC}">
                        <c15:formulaRef>
                          <c15:sqref>'PV 30v kannattavuus 3'!$D$101</c15:sqref>
                        </c15:formulaRef>
                      </c:ext>
                    </c:extLst>
                    <c:strCache>
                      <c:ptCount val="1"/>
                      <c:pt idx="0">
                        <c:v>Auringon säteily kWh/m2/pv sijainnin mukaan</c:v>
                      </c:pt>
                    </c:strCache>
                  </c:strRef>
                </c:tx>
                <c:spPr>
                  <a:solidFill>
                    <a:schemeClr val="accent3"/>
                  </a:solidFill>
                  <a:ln>
                    <a:noFill/>
                  </a:ln>
                  <a:effectLst/>
                </c:spPr>
                <c:invertIfNegative val="0"/>
                <c:val>
                  <c:numRef>
                    <c:extLst>
                      <c:ext uri="{02D57815-91ED-43cb-92C2-25804820EDAC}">
                        <c15:formulaRef>
                          <c15:sqref>'PV 30v kannattavuus 3'!$D$102:$D$113</c15:sqref>
                        </c15:formulaRef>
                      </c:ext>
                    </c:extLst>
                    <c:numCache>
                      <c:formatCode>0.00</c:formatCode>
                      <c:ptCount val="12"/>
                      <c:pt idx="0">
                        <c:v>0.32</c:v>
                      </c:pt>
                      <c:pt idx="1">
                        <c:v>1.1000000000000001</c:v>
                      </c:pt>
                      <c:pt idx="2">
                        <c:v>2.44</c:v>
                      </c:pt>
                      <c:pt idx="3">
                        <c:v>3.96</c:v>
                      </c:pt>
                      <c:pt idx="4">
                        <c:v>5.41</c:v>
                      </c:pt>
                      <c:pt idx="5">
                        <c:v>5.63</c:v>
                      </c:pt>
                      <c:pt idx="6">
                        <c:v>5.6</c:v>
                      </c:pt>
                      <c:pt idx="7">
                        <c:v>4.09</c:v>
                      </c:pt>
                      <c:pt idx="8">
                        <c:v>2.54</c:v>
                      </c:pt>
                      <c:pt idx="9">
                        <c:v>1.18</c:v>
                      </c:pt>
                      <c:pt idx="10">
                        <c:v>0.5</c:v>
                      </c:pt>
                      <c:pt idx="11">
                        <c:v>0.2</c:v>
                      </c:pt>
                    </c:numCache>
                  </c:numRef>
                </c:val>
                <c:extLst>
                  <c:ext xmlns:c16="http://schemas.microsoft.com/office/drawing/2014/chart" uri="{C3380CC4-5D6E-409C-BE32-E72D297353CC}">
                    <c16:uniqueId val="{00000002-F084-497E-980B-CC1BA26F316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'PV 30v kannattavuus 3'!$E$101</c15:sqref>
                        </c15:formulaRef>
                      </c:ext>
                    </c:extLst>
                    <c:strCache>
                      <c:ptCount val="1"/>
                      <c:pt idx="0">
                        <c:v> Sähkön ostohinta €/MWh/kk</c:v>
                      </c:pt>
                    </c:strCache>
                  </c:strRef>
                </c:tx>
                <c:spPr>
                  <a:solidFill>
                    <a:schemeClr val="accent5"/>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3'!$E$102:$E$113</c15:sqref>
                        </c15:formulaRef>
                      </c:ext>
                    </c:extLst>
                    <c:numCache>
                      <c:formatCode>0.0</c:formatCode>
                      <c:ptCount val="12"/>
                      <c:pt idx="0">
                        <c:v>141.22514999999999</c:v>
                      </c:pt>
                      <c:pt idx="1">
                        <c:v>141.22514999999999</c:v>
                      </c:pt>
                      <c:pt idx="2">
                        <c:v>141.22514999999999</c:v>
                      </c:pt>
                      <c:pt idx="3">
                        <c:v>141.22514999999999</c:v>
                      </c:pt>
                      <c:pt idx="4">
                        <c:v>141.22514999999999</c:v>
                      </c:pt>
                      <c:pt idx="5">
                        <c:v>141.22514999999999</c:v>
                      </c:pt>
                      <c:pt idx="6">
                        <c:v>141.22514999999999</c:v>
                      </c:pt>
                      <c:pt idx="7">
                        <c:v>141.22514999999999</c:v>
                      </c:pt>
                      <c:pt idx="8">
                        <c:v>141.22514999999999</c:v>
                      </c:pt>
                      <c:pt idx="9">
                        <c:v>141.22514999999999</c:v>
                      </c:pt>
                      <c:pt idx="10">
                        <c:v>141.22514999999999</c:v>
                      </c:pt>
                      <c:pt idx="11">
                        <c:v>141.22514999999999</c:v>
                      </c:pt>
                    </c:numCache>
                  </c:numRef>
                </c:val>
                <c:extLst xmlns:c15="http://schemas.microsoft.com/office/drawing/2012/chart">
                  <c:ext xmlns:c16="http://schemas.microsoft.com/office/drawing/2014/chart" uri="{C3380CC4-5D6E-409C-BE32-E72D297353CC}">
                    <c16:uniqueId val="{00000003-F084-497E-980B-CC1BA26F316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'PV 30v kannattavuus 3'!$F$101</c15:sqref>
                        </c15:formulaRef>
                      </c:ext>
                    </c:extLst>
                    <c:strCache>
                      <c:ptCount val="1"/>
                      <c:pt idx="0">
                        <c:v>Aurinkosähkön ylijäämän myyntihinta €/MWh/kk</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3'!$F$102:$F$113</c15:sqref>
                        </c15:formulaRef>
                      </c:ext>
                    </c:extLst>
                    <c:numCache>
                      <c:formatCode>0.0</c:formatCode>
                      <c:ptCount val="12"/>
                      <c:pt idx="0">
                        <c:v>20</c:v>
                      </c:pt>
                      <c:pt idx="1">
                        <c:v>20</c:v>
                      </c:pt>
                      <c:pt idx="2">
                        <c:v>20</c:v>
                      </c:pt>
                      <c:pt idx="3">
                        <c:v>20</c:v>
                      </c:pt>
                      <c:pt idx="4">
                        <c:v>20</c:v>
                      </c:pt>
                      <c:pt idx="5">
                        <c:v>20</c:v>
                      </c:pt>
                      <c:pt idx="6">
                        <c:v>20</c:v>
                      </c:pt>
                      <c:pt idx="7">
                        <c:v>20</c:v>
                      </c:pt>
                      <c:pt idx="8">
                        <c:v>20</c:v>
                      </c:pt>
                      <c:pt idx="9">
                        <c:v>20</c:v>
                      </c:pt>
                      <c:pt idx="10">
                        <c:v>20</c:v>
                      </c:pt>
                      <c:pt idx="11">
                        <c:v>20</c:v>
                      </c:pt>
                    </c:numCache>
                  </c:numRef>
                </c:val>
                <c:extLst xmlns:c15="http://schemas.microsoft.com/office/drawing/2012/chart">
                  <c:ext xmlns:c16="http://schemas.microsoft.com/office/drawing/2014/chart" uri="{C3380CC4-5D6E-409C-BE32-E72D297353CC}">
                    <c16:uniqueId val="{00000004-F084-497E-980B-CC1BA26F316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'PV 30v kannattavuus 3'!$H$101</c15:sqref>
                        </c15:formulaRef>
                      </c:ext>
                    </c:extLst>
                    <c:strCache>
                      <c:ptCount val="1"/>
                      <c:pt idx="0">
                        <c:v>Aurinkosähköä omaan käyttöön kWh</c:v>
                      </c:pt>
                    </c:strCache>
                  </c:strRef>
                </c:tx>
                <c:spPr>
                  <a:solidFill>
                    <a:schemeClr val="accent5">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3'!$H$102:$H$113</c15:sqref>
                        </c15:formulaRef>
                      </c:ext>
                    </c:extLst>
                    <c:numCache>
                      <c:formatCode>0</c:formatCode>
                      <c:ptCount val="12"/>
                      <c:pt idx="0">
                        <c:v>28.938623999999997</c:v>
                      </c:pt>
                      <c:pt idx="1">
                        <c:v>89.849760000000003</c:v>
                      </c:pt>
                      <c:pt idx="2">
                        <c:v>220.65700799999999</c:v>
                      </c:pt>
                      <c:pt idx="3">
                        <c:v>346.56335999999999</c:v>
                      </c:pt>
                      <c:pt idx="4">
                        <c:v>388.68000000000006</c:v>
                      </c:pt>
                      <c:pt idx="5">
                        <c:v>344.40000000000009</c:v>
                      </c:pt>
                      <c:pt idx="6">
                        <c:v>344.40000000000009</c:v>
                      </c:pt>
                      <c:pt idx="7">
                        <c:v>369.87178799999992</c:v>
                      </c:pt>
                      <c:pt idx="8">
                        <c:v>222.29064</c:v>
                      </c:pt>
                      <c:pt idx="9">
                        <c:v>106.71117599999998</c:v>
                      </c:pt>
                      <c:pt idx="10">
                        <c:v>43.757999999999996</c:v>
                      </c:pt>
                      <c:pt idx="11">
                        <c:v>18.086639999999999</c:v>
                      </c:pt>
                    </c:numCache>
                  </c:numRef>
                </c:val>
                <c:extLst xmlns:c15="http://schemas.microsoft.com/office/drawing/2012/chart">
                  <c:ext xmlns:c16="http://schemas.microsoft.com/office/drawing/2014/chart" uri="{C3380CC4-5D6E-409C-BE32-E72D297353CC}">
                    <c16:uniqueId val="{00000005-F084-497E-980B-CC1BA26F316B}"/>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'PV 30v kannattavuus 3'!$I$101</c15:sqref>
                        </c15:formulaRef>
                      </c:ext>
                    </c:extLst>
                    <c:strCache>
                      <c:ptCount val="1"/>
                      <c:pt idx="0">
                        <c:v>Aurinkosähköä myyntiin kWh</c:v>
                      </c:pt>
                    </c:strCache>
                  </c:strRef>
                </c:tx>
                <c:spPr>
                  <a:solidFill>
                    <a:schemeClr val="accent1">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3'!$I$102:$I$113</c15:sqref>
                        </c15:formulaRef>
                      </c:ext>
                    </c:extLst>
                    <c:numCache>
                      <c:formatCode>0</c:formatCode>
                      <c:ptCount val="12"/>
                      <c:pt idx="0">
                        <c:v>0</c:v>
                      </c:pt>
                      <c:pt idx="1">
                        <c:v>0</c:v>
                      </c:pt>
                      <c:pt idx="2">
                        <c:v>0</c:v>
                      </c:pt>
                      <c:pt idx="3">
                        <c:v>0</c:v>
                      </c:pt>
                      <c:pt idx="4">
                        <c:v>100.56361199999992</c:v>
                      </c:pt>
                      <c:pt idx="5">
                        <c:v>148.31507999999985</c:v>
                      </c:pt>
                      <c:pt idx="6">
                        <c:v>162.02591999999987</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6-F084-497E-980B-CC1BA26F316B}"/>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'PV 30v kannattavuus 3'!$J$101</c15:sqref>
                        </c15:formulaRef>
                      </c:ext>
                    </c:extLst>
                    <c:strCache>
                      <c:ptCount val="1"/>
                      <c:pt idx="0">
                        <c:v>Sähkön ostotarve kWh</c:v>
                      </c:pt>
                    </c:strCache>
                  </c:strRef>
                </c:tx>
                <c:spPr>
                  <a:solidFill>
                    <a:schemeClr val="accent3">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3'!$J$102:$J$113</c15:sqref>
                        </c15:formulaRef>
                      </c:ext>
                    </c:extLst>
                    <c:numCache>
                      <c:formatCode>0</c:formatCode>
                      <c:ptCount val="12"/>
                      <c:pt idx="0">
                        <c:v>1078.0613760000001</c:v>
                      </c:pt>
                      <c:pt idx="1">
                        <c:v>1017.1502399999999</c:v>
                      </c:pt>
                      <c:pt idx="2">
                        <c:v>812.54299200000003</c:v>
                      </c:pt>
                      <c:pt idx="3">
                        <c:v>686.63664000000006</c:v>
                      </c:pt>
                      <c:pt idx="4">
                        <c:v>583.02</c:v>
                      </c:pt>
                      <c:pt idx="5">
                        <c:v>516.6</c:v>
                      </c:pt>
                      <c:pt idx="6">
                        <c:v>516.6</c:v>
                      </c:pt>
                      <c:pt idx="7">
                        <c:v>601.82821200000012</c:v>
                      </c:pt>
                      <c:pt idx="8">
                        <c:v>810.90936000000011</c:v>
                      </c:pt>
                      <c:pt idx="9">
                        <c:v>1000.288824</c:v>
                      </c:pt>
                      <c:pt idx="10">
                        <c:v>1063.242</c:v>
                      </c:pt>
                      <c:pt idx="11">
                        <c:v>1088.91336</c:v>
                      </c:pt>
                    </c:numCache>
                  </c:numRef>
                </c:val>
                <c:extLst xmlns:c15="http://schemas.microsoft.com/office/drawing/2012/chart">
                  <c:ext xmlns:c16="http://schemas.microsoft.com/office/drawing/2014/chart" uri="{C3380CC4-5D6E-409C-BE32-E72D297353CC}">
                    <c16:uniqueId val="{00000007-F084-497E-980B-CC1BA26F316B}"/>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'PV 30v kannattavuus 3'!$K$101</c15:sqref>
                        </c15:formulaRef>
                      </c:ext>
                    </c:extLst>
                    <c:strCache>
                      <c:ptCount val="1"/>
                      <c:pt idx="0">
                        <c:v>Omaan käyttöön tuotetun aurinkosähkön arvo €</c:v>
                      </c:pt>
                    </c:strCache>
                  </c:strRef>
                </c:tx>
                <c:spPr>
                  <a:solidFill>
                    <a:schemeClr val="accent5">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3'!$K$102:$K$113</c15:sqref>
                        </c15:formulaRef>
                      </c:ext>
                    </c:extLst>
                    <c:numCache>
                      <c:formatCode>#\ ##0.00\ "€"</c:formatCode>
                      <c:ptCount val="12"/>
                      <c:pt idx="0">
                        <c:v>4.0868615151935987</c:v>
                      </c:pt>
                      <c:pt idx="1">
                        <c:v>12.689045833463998</c:v>
                      </c:pt>
                      <c:pt idx="2">
                        <c:v>31.162319053351194</c:v>
                      </c:pt>
                      <c:pt idx="3">
                        <c:v>48.94346250050399</c:v>
                      </c:pt>
                      <c:pt idx="4">
                        <c:v>69.093502491241793</c:v>
                      </c:pt>
                      <c:pt idx="5">
                        <c:v>69.583761080261993</c:v>
                      </c:pt>
                      <c:pt idx="6">
                        <c:v>71.520076515887979</c:v>
                      </c:pt>
                      <c:pt idx="7">
                        <c:v>52.235198741068182</c:v>
                      </c:pt>
                      <c:pt idx="8">
                        <c:v>31.393028977595996</c:v>
                      </c:pt>
                      <c:pt idx="9">
                        <c:v>15.070301837276396</c:v>
                      </c:pt>
                      <c:pt idx="10">
                        <c:v>6.1797301136999989</c:v>
                      </c:pt>
                      <c:pt idx="11">
                        <c:v>2.5542884469959994</c:v>
                      </c:pt>
                    </c:numCache>
                  </c:numRef>
                </c:val>
                <c:extLst xmlns:c15="http://schemas.microsoft.com/office/drawing/2012/chart">
                  <c:ext xmlns:c16="http://schemas.microsoft.com/office/drawing/2014/chart" uri="{C3380CC4-5D6E-409C-BE32-E72D297353CC}">
                    <c16:uniqueId val="{00000008-F084-497E-980B-CC1BA26F316B}"/>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'PV 30v kannattavuus 3'!$L$101</c15:sqref>
                        </c15:formulaRef>
                      </c:ext>
                    </c:extLst>
                    <c:strCache>
                      <c:ptCount val="1"/>
                      <c:pt idx="0">
                        <c:v>Sähkön myyntitulot €</c:v>
                      </c:pt>
                    </c:strCache>
                  </c:strRef>
                </c:tx>
                <c:spPr>
                  <a:solidFill>
                    <a:schemeClr val="accent1">
                      <a:lumMod val="8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3'!$L$102:$L$113</c15:sqref>
                        </c15:formulaRef>
                      </c:ext>
                    </c:extLst>
                    <c:numCache>
                      <c:formatCode>#\ ##0.00\ "€"</c:formatCode>
                      <c:ptCount val="12"/>
                      <c:pt idx="0">
                        <c:v>0</c:v>
                      </c:pt>
                      <c:pt idx="1">
                        <c:v>0</c:v>
                      </c:pt>
                      <c:pt idx="2">
                        <c:v>0</c:v>
                      </c:pt>
                      <c:pt idx="3">
                        <c:v>0</c:v>
                      </c:pt>
                      <c:pt idx="4">
                        <c:v>2.0112722399999985</c:v>
                      </c:pt>
                      <c:pt idx="5">
                        <c:v>2.9663015999999969</c:v>
                      </c:pt>
                      <c:pt idx="6">
                        <c:v>3.2405183999999974</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9-F084-497E-980B-CC1BA26F316B}"/>
                  </c:ext>
                </c:extLst>
              </c15:ser>
            </c15:filteredBarSeries>
          </c:ext>
        </c:extLst>
      </c:barChart>
      <c:catAx>
        <c:axId val="1809982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63268895"/>
        <c:crosses val="autoZero"/>
        <c:auto val="1"/>
        <c:lblAlgn val="ctr"/>
        <c:lblOffset val="100"/>
        <c:noMultiLvlLbl val="0"/>
      </c:catAx>
      <c:valAx>
        <c:axId val="1632688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809982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solidFill>
                  <a:schemeClr val="accent1"/>
                </a:solidFill>
              </a:rPr>
              <a:t>Kulutus</a:t>
            </a:r>
            <a:r>
              <a:rPr lang="fi-FI" baseline="0"/>
              <a:t> vs Tuotanto</a:t>
            </a:r>
            <a:endParaRPr lang="fi-FI"/>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strRef>
              <c:f>'PV 30v kannattavuus 5'!$C$101</c:f>
              <c:strCache>
                <c:ptCount val="1"/>
                <c:pt idx="0">
                  <c:v>Kiinteistön kuukausikohtainen sähkönkulutus kWh/kk</c:v>
                </c:pt>
              </c:strCache>
            </c:strRef>
          </c:tx>
          <c:spPr>
            <a:solidFill>
              <a:schemeClr val="accent1"/>
            </a:solidFill>
            <a:ln>
              <a:noFill/>
            </a:ln>
            <a:effectLst/>
          </c:spPr>
          <c:invertIfNegative val="0"/>
          <c:val>
            <c:numRef>
              <c:f>'PV 30v kannattavuus 5'!$C$102:$C$113</c:f>
              <c:numCache>
                <c:formatCode>0</c:formatCode>
                <c:ptCount val="12"/>
                <c:pt idx="0">
                  <c:v>1107</c:v>
                </c:pt>
                <c:pt idx="1">
                  <c:v>1107</c:v>
                </c:pt>
                <c:pt idx="2">
                  <c:v>1033.2</c:v>
                </c:pt>
                <c:pt idx="3">
                  <c:v>1033.2</c:v>
                </c:pt>
                <c:pt idx="4">
                  <c:v>971.7</c:v>
                </c:pt>
                <c:pt idx="5">
                  <c:v>861.00000000000011</c:v>
                </c:pt>
                <c:pt idx="6">
                  <c:v>861.00000000000011</c:v>
                </c:pt>
                <c:pt idx="7">
                  <c:v>971.7</c:v>
                </c:pt>
                <c:pt idx="8">
                  <c:v>1033.2</c:v>
                </c:pt>
                <c:pt idx="9">
                  <c:v>1107</c:v>
                </c:pt>
                <c:pt idx="10">
                  <c:v>1107</c:v>
                </c:pt>
                <c:pt idx="11">
                  <c:v>1107</c:v>
                </c:pt>
              </c:numCache>
            </c:numRef>
          </c:val>
          <c:extLst>
            <c:ext xmlns:c16="http://schemas.microsoft.com/office/drawing/2014/chart" uri="{C3380CC4-5D6E-409C-BE32-E72D297353CC}">
              <c16:uniqueId val="{00000000-D39D-4188-9CAE-7A6F18131BA2}"/>
            </c:ext>
          </c:extLst>
        </c:ser>
        <c:ser>
          <c:idx val="4"/>
          <c:order val="4"/>
          <c:tx>
            <c:strRef>
              <c:f>'PV 30v kannattavuus 5'!$G$101</c:f>
              <c:strCache>
                <c:ptCount val="1"/>
                <c:pt idx="0">
                  <c:v>Aurinkosähkön tuotanto kWh/kk</c:v>
                </c:pt>
              </c:strCache>
            </c:strRef>
          </c:tx>
          <c:spPr>
            <a:solidFill>
              <a:schemeClr val="accent3">
                <a:lumMod val="60000"/>
              </a:schemeClr>
            </a:solidFill>
            <a:ln>
              <a:noFill/>
            </a:ln>
            <a:effectLst/>
          </c:spPr>
          <c:invertIfNegative val="0"/>
          <c:val>
            <c:numRef>
              <c:f>'PV 30v kannattavuus 5'!$G$102:$G$113</c:f>
              <c:numCache>
                <c:formatCode>0</c:formatCode>
                <c:ptCount val="12"/>
                <c:pt idx="0">
                  <c:v>43.407936000000007</c:v>
                </c:pt>
                <c:pt idx="1">
                  <c:v>134.77464000000003</c:v>
                </c:pt>
                <c:pt idx="2">
                  <c:v>330.98551200000003</c:v>
                </c:pt>
                <c:pt idx="3">
                  <c:v>519.84504000000004</c:v>
                </c:pt>
                <c:pt idx="4">
                  <c:v>733.86541800000009</c:v>
                </c:pt>
                <c:pt idx="5">
                  <c:v>739.07262000000014</c:v>
                </c:pt>
                <c:pt idx="6">
                  <c:v>759.63888000000009</c:v>
                </c:pt>
                <c:pt idx="7">
                  <c:v>554.807682</c:v>
                </c:pt>
                <c:pt idx="8">
                  <c:v>333.43596000000002</c:v>
                </c:pt>
                <c:pt idx="9">
                  <c:v>160.06676400000003</c:v>
                </c:pt>
                <c:pt idx="10">
                  <c:v>65.637</c:v>
                </c:pt>
                <c:pt idx="11">
                  <c:v>27.129960000000004</c:v>
                </c:pt>
              </c:numCache>
            </c:numRef>
          </c:val>
          <c:extLst>
            <c:ext xmlns:c16="http://schemas.microsoft.com/office/drawing/2014/chart" uri="{C3380CC4-5D6E-409C-BE32-E72D297353CC}">
              <c16:uniqueId val="{00000001-D39D-4188-9CAE-7A6F18131BA2}"/>
            </c:ext>
          </c:extLst>
        </c:ser>
        <c:dLbls>
          <c:showLegendKey val="0"/>
          <c:showVal val="0"/>
          <c:showCatName val="0"/>
          <c:showSerName val="0"/>
          <c:showPercent val="0"/>
          <c:showBubbleSize val="0"/>
        </c:dLbls>
        <c:gapWidth val="219"/>
        <c:overlap val="-27"/>
        <c:axId val="1809982607"/>
        <c:axId val="163268895"/>
        <c:extLst>
          <c:ext xmlns:c15="http://schemas.microsoft.com/office/drawing/2012/chart" uri="{02D57815-91ED-43cb-92C2-25804820EDAC}">
            <c15:filteredBarSeries>
              <c15:ser>
                <c:idx val="1"/>
                <c:order val="1"/>
                <c:tx>
                  <c:strRef>
                    <c:extLst>
                      <c:ext uri="{02D57815-91ED-43cb-92C2-25804820EDAC}">
                        <c15:formulaRef>
                          <c15:sqref>'PV 30v kannattavuus 5'!$D$101</c15:sqref>
                        </c15:formulaRef>
                      </c:ext>
                    </c:extLst>
                    <c:strCache>
                      <c:ptCount val="1"/>
                      <c:pt idx="0">
                        <c:v>Auringon säteily kWh/m2/pv sijainnin mukaan</c:v>
                      </c:pt>
                    </c:strCache>
                  </c:strRef>
                </c:tx>
                <c:spPr>
                  <a:solidFill>
                    <a:schemeClr val="accent3"/>
                  </a:solidFill>
                  <a:ln>
                    <a:noFill/>
                  </a:ln>
                  <a:effectLst/>
                </c:spPr>
                <c:invertIfNegative val="0"/>
                <c:val>
                  <c:numRef>
                    <c:extLst>
                      <c:ext uri="{02D57815-91ED-43cb-92C2-25804820EDAC}">
                        <c15:formulaRef>
                          <c15:sqref>'PV 30v kannattavuus 5'!$D$102:$D$113</c15:sqref>
                        </c15:formulaRef>
                      </c:ext>
                    </c:extLst>
                    <c:numCache>
                      <c:formatCode>0.00</c:formatCode>
                      <c:ptCount val="12"/>
                      <c:pt idx="0">
                        <c:v>0.32</c:v>
                      </c:pt>
                      <c:pt idx="1">
                        <c:v>1.1000000000000001</c:v>
                      </c:pt>
                      <c:pt idx="2">
                        <c:v>2.44</c:v>
                      </c:pt>
                      <c:pt idx="3">
                        <c:v>3.96</c:v>
                      </c:pt>
                      <c:pt idx="4">
                        <c:v>5.41</c:v>
                      </c:pt>
                      <c:pt idx="5">
                        <c:v>5.63</c:v>
                      </c:pt>
                      <c:pt idx="6">
                        <c:v>5.6</c:v>
                      </c:pt>
                      <c:pt idx="7">
                        <c:v>4.09</c:v>
                      </c:pt>
                      <c:pt idx="8">
                        <c:v>2.54</c:v>
                      </c:pt>
                      <c:pt idx="9">
                        <c:v>1.18</c:v>
                      </c:pt>
                      <c:pt idx="10">
                        <c:v>0.5</c:v>
                      </c:pt>
                      <c:pt idx="11">
                        <c:v>0.2</c:v>
                      </c:pt>
                    </c:numCache>
                  </c:numRef>
                </c:val>
                <c:extLst>
                  <c:ext xmlns:c16="http://schemas.microsoft.com/office/drawing/2014/chart" uri="{C3380CC4-5D6E-409C-BE32-E72D297353CC}">
                    <c16:uniqueId val="{00000002-D39D-4188-9CAE-7A6F18131B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'PV 30v kannattavuus 5'!$E$101</c15:sqref>
                        </c15:formulaRef>
                      </c:ext>
                    </c:extLst>
                    <c:strCache>
                      <c:ptCount val="1"/>
                      <c:pt idx="0">
                        <c:v> Sähkön ostohinta €/MWh/kk</c:v>
                      </c:pt>
                    </c:strCache>
                  </c:strRef>
                </c:tx>
                <c:spPr>
                  <a:solidFill>
                    <a:schemeClr val="accent5"/>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5'!$E$102:$E$113</c15:sqref>
                        </c15:formulaRef>
                      </c:ext>
                    </c:extLst>
                    <c:numCache>
                      <c:formatCode>0.0</c:formatCode>
                      <c:ptCount val="12"/>
                      <c:pt idx="0">
                        <c:v>141.22514999999999</c:v>
                      </c:pt>
                      <c:pt idx="1">
                        <c:v>141.22514999999999</c:v>
                      </c:pt>
                      <c:pt idx="2">
                        <c:v>141.22514999999999</c:v>
                      </c:pt>
                      <c:pt idx="3">
                        <c:v>141.22514999999999</c:v>
                      </c:pt>
                      <c:pt idx="4">
                        <c:v>141.22514999999999</c:v>
                      </c:pt>
                      <c:pt idx="5">
                        <c:v>141.22514999999999</c:v>
                      </c:pt>
                      <c:pt idx="6">
                        <c:v>141.22514999999999</c:v>
                      </c:pt>
                      <c:pt idx="7">
                        <c:v>141.22514999999999</c:v>
                      </c:pt>
                      <c:pt idx="8">
                        <c:v>141.22514999999999</c:v>
                      </c:pt>
                      <c:pt idx="9">
                        <c:v>141.22514999999999</c:v>
                      </c:pt>
                      <c:pt idx="10">
                        <c:v>141.22514999999999</c:v>
                      </c:pt>
                      <c:pt idx="11">
                        <c:v>141.22514999999999</c:v>
                      </c:pt>
                    </c:numCache>
                  </c:numRef>
                </c:val>
                <c:extLst xmlns:c15="http://schemas.microsoft.com/office/drawing/2012/chart">
                  <c:ext xmlns:c16="http://schemas.microsoft.com/office/drawing/2014/chart" uri="{C3380CC4-5D6E-409C-BE32-E72D297353CC}">
                    <c16:uniqueId val="{00000003-D39D-4188-9CAE-7A6F18131B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'PV 30v kannattavuus 5'!$F$101</c15:sqref>
                        </c15:formulaRef>
                      </c:ext>
                    </c:extLst>
                    <c:strCache>
                      <c:ptCount val="1"/>
                      <c:pt idx="0">
                        <c:v>Aurinkosähkön ylijäämän myyntihinta €/MWh/kk</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5'!$F$102:$F$113</c15:sqref>
                        </c15:formulaRef>
                      </c:ext>
                    </c:extLst>
                    <c:numCache>
                      <c:formatCode>0.0</c:formatCode>
                      <c:ptCount val="12"/>
                      <c:pt idx="0">
                        <c:v>20</c:v>
                      </c:pt>
                      <c:pt idx="1">
                        <c:v>20</c:v>
                      </c:pt>
                      <c:pt idx="2">
                        <c:v>20</c:v>
                      </c:pt>
                      <c:pt idx="3">
                        <c:v>20</c:v>
                      </c:pt>
                      <c:pt idx="4">
                        <c:v>20</c:v>
                      </c:pt>
                      <c:pt idx="5">
                        <c:v>20</c:v>
                      </c:pt>
                      <c:pt idx="6">
                        <c:v>20</c:v>
                      </c:pt>
                      <c:pt idx="7">
                        <c:v>20</c:v>
                      </c:pt>
                      <c:pt idx="8">
                        <c:v>20</c:v>
                      </c:pt>
                      <c:pt idx="9">
                        <c:v>20</c:v>
                      </c:pt>
                      <c:pt idx="10">
                        <c:v>20</c:v>
                      </c:pt>
                      <c:pt idx="11">
                        <c:v>20</c:v>
                      </c:pt>
                    </c:numCache>
                  </c:numRef>
                </c:val>
                <c:extLst xmlns:c15="http://schemas.microsoft.com/office/drawing/2012/chart">
                  <c:ext xmlns:c16="http://schemas.microsoft.com/office/drawing/2014/chart" uri="{C3380CC4-5D6E-409C-BE32-E72D297353CC}">
                    <c16:uniqueId val="{00000004-D39D-4188-9CAE-7A6F18131BA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'PV 30v kannattavuus 5'!$H$101</c15:sqref>
                        </c15:formulaRef>
                      </c:ext>
                    </c:extLst>
                    <c:strCache>
                      <c:ptCount val="1"/>
                      <c:pt idx="0">
                        <c:v>Aurinkosähköä omaan käyttöön kWh</c:v>
                      </c:pt>
                    </c:strCache>
                  </c:strRef>
                </c:tx>
                <c:spPr>
                  <a:solidFill>
                    <a:schemeClr val="accent5">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5'!$H$102:$H$113</c15:sqref>
                        </c15:formulaRef>
                      </c:ext>
                    </c:extLst>
                    <c:numCache>
                      <c:formatCode>0</c:formatCode>
                      <c:ptCount val="12"/>
                      <c:pt idx="0">
                        <c:v>43.407936000000007</c:v>
                      </c:pt>
                      <c:pt idx="1">
                        <c:v>134.77464000000003</c:v>
                      </c:pt>
                      <c:pt idx="2">
                        <c:v>330.98551200000003</c:v>
                      </c:pt>
                      <c:pt idx="3">
                        <c:v>413.28000000000003</c:v>
                      </c:pt>
                      <c:pt idx="4">
                        <c:v>388.68000000000006</c:v>
                      </c:pt>
                      <c:pt idx="5">
                        <c:v>344.40000000000009</c:v>
                      </c:pt>
                      <c:pt idx="6">
                        <c:v>344.40000000000009</c:v>
                      </c:pt>
                      <c:pt idx="7">
                        <c:v>388.68000000000006</c:v>
                      </c:pt>
                      <c:pt idx="8">
                        <c:v>333.43596000000002</c:v>
                      </c:pt>
                      <c:pt idx="9">
                        <c:v>160.06676400000003</c:v>
                      </c:pt>
                      <c:pt idx="10">
                        <c:v>65.637</c:v>
                      </c:pt>
                      <c:pt idx="11">
                        <c:v>27.129960000000004</c:v>
                      </c:pt>
                    </c:numCache>
                  </c:numRef>
                </c:val>
                <c:extLst xmlns:c15="http://schemas.microsoft.com/office/drawing/2012/chart">
                  <c:ext xmlns:c16="http://schemas.microsoft.com/office/drawing/2014/chart" uri="{C3380CC4-5D6E-409C-BE32-E72D297353CC}">
                    <c16:uniqueId val="{00000005-D39D-4188-9CAE-7A6F18131BA2}"/>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'PV 30v kannattavuus 5'!$I$101</c15:sqref>
                        </c15:formulaRef>
                      </c:ext>
                    </c:extLst>
                    <c:strCache>
                      <c:ptCount val="1"/>
                      <c:pt idx="0">
                        <c:v>Aurinkosähköä myyntiin kWh</c:v>
                      </c:pt>
                    </c:strCache>
                  </c:strRef>
                </c:tx>
                <c:spPr>
                  <a:solidFill>
                    <a:schemeClr val="accent1">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5'!$I$102:$I$113</c15:sqref>
                        </c15:formulaRef>
                      </c:ext>
                    </c:extLst>
                    <c:numCache>
                      <c:formatCode>0</c:formatCode>
                      <c:ptCount val="12"/>
                      <c:pt idx="0">
                        <c:v>0</c:v>
                      </c:pt>
                      <c:pt idx="1">
                        <c:v>0</c:v>
                      </c:pt>
                      <c:pt idx="2">
                        <c:v>0</c:v>
                      </c:pt>
                      <c:pt idx="3">
                        <c:v>106.56504000000001</c:v>
                      </c:pt>
                      <c:pt idx="4">
                        <c:v>345.18541800000003</c:v>
                      </c:pt>
                      <c:pt idx="5">
                        <c:v>394.67262000000005</c:v>
                      </c:pt>
                      <c:pt idx="6">
                        <c:v>415.23887999999999</c:v>
                      </c:pt>
                      <c:pt idx="7">
                        <c:v>166.12768199999994</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6-D39D-4188-9CAE-7A6F18131B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'PV 30v kannattavuus 5'!$J$101</c15:sqref>
                        </c15:formulaRef>
                      </c:ext>
                    </c:extLst>
                    <c:strCache>
                      <c:ptCount val="1"/>
                      <c:pt idx="0">
                        <c:v>Sähkön ostotarve kWh</c:v>
                      </c:pt>
                    </c:strCache>
                  </c:strRef>
                </c:tx>
                <c:spPr>
                  <a:solidFill>
                    <a:schemeClr val="accent3">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5'!$J$102:$J$113</c15:sqref>
                        </c15:formulaRef>
                      </c:ext>
                    </c:extLst>
                    <c:numCache>
                      <c:formatCode>0</c:formatCode>
                      <c:ptCount val="12"/>
                      <c:pt idx="0">
                        <c:v>1063.5920639999999</c:v>
                      </c:pt>
                      <c:pt idx="1">
                        <c:v>972.22535999999991</c:v>
                      </c:pt>
                      <c:pt idx="2">
                        <c:v>702.21448800000007</c:v>
                      </c:pt>
                      <c:pt idx="3">
                        <c:v>619.92000000000007</c:v>
                      </c:pt>
                      <c:pt idx="4">
                        <c:v>583.02</c:v>
                      </c:pt>
                      <c:pt idx="5">
                        <c:v>516.6</c:v>
                      </c:pt>
                      <c:pt idx="6">
                        <c:v>516.6</c:v>
                      </c:pt>
                      <c:pt idx="7">
                        <c:v>583.02</c:v>
                      </c:pt>
                      <c:pt idx="8">
                        <c:v>699.76404000000002</c:v>
                      </c:pt>
                      <c:pt idx="9">
                        <c:v>946.93323599999997</c:v>
                      </c:pt>
                      <c:pt idx="10">
                        <c:v>1041.3630000000001</c:v>
                      </c:pt>
                      <c:pt idx="11">
                        <c:v>1079.87004</c:v>
                      </c:pt>
                    </c:numCache>
                  </c:numRef>
                </c:val>
                <c:extLst xmlns:c15="http://schemas.microsoft.com/office/drawing/2012/chart">
                  <c:ext xmlns:c16="http://schemas.microsoft.com/office/drawing/2014/chart" uri="{C3380CC4-5D6E-409C-BE32-E72D297353CC}">
                    <c16:uniqueId val="{00000007-D39D-4188-9CAE-7A6F18131B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'PV 30v kannattavuus 5'!$K$101</c15:sqref>
                        </c15:formulaRef>
                      </c:ext>
                    </c:extLst>
                    <c:strCache>
                      <c:ptCount val="1"/>
                      <c:pt idx="0">
                        <c:v>Omaan käyttöön tuotetun aurinkosähkön arvo €</c:v>
                      </c:pt>
                    </c:strCache>
                  </c:strRef>
                </c:tx>
                <c:spPr>
                  <a:solidFill>
                    <a:schemeClr val="accent5">
                      <a:lumMod val="80000"/>
                      <a:lumOff val="2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5'!$K$102:$K$113</c15:sqref>
                        </c15:formulaRef>
                      </c:ext>
                    </c:extLst>
                    <c:numCache>
                      <c:formatCode>#\ ##0.00\ "€"</c:formatCode>
                      <c:ptCount val="12"/>
                      <c:pt idx="0">
                        <c:v>6.1302922727904008</c:v>
                      </c:pt>
                      <c:pt idx="1">
                        <c:v>19.033568750196</c:v>
                      </c:pt>
                      <c:pt idx="2">
                        <c:v>46.743478580026803</c:v>
                      </c:pt>
                      <c:pt idx="3">
                        <c:v>73.415193750755989</c:v>
                      </c:pt>
                      <c:pt idx="4">
                        <c:v>103.6402537368627</c:v>
                      </c:pt>
                      <c:pt idx="5">
                        <c:v>104.37564162039301</c:v>
                      </c:pt>
                      <c:pt idx="6">
                        <c:v>107.280114773832</c:v>
                      </c:pt>
                      <c:pt idx="7">
                        <c:v>78.352798111602283</c:v>
                      </c:pt>
                      <c:pt idx="8">
                        <c:v>47.089543466393998</c:v>
                      </c:pt>
                      <c:pt idx="9">
                        <c:v>22.605452755914602</c:v>
                      </c:pt>
                      <c:pt idx="10">
                        <c:v>9.2695951705499997</c:v>
                      </c:pt>
                      <c:pt idx="11">
                        <c:v>3.8314326704940003</c:v>
                      </c:pt>
                    </c:numCache>
                  </c:numRef>
                </c:val>
                <c:extLst xmlns:c15="http://schemas.microsoft.com/office/drawing/2012/chart">
                  <c:ext xmlns:c16="http://schemas.microsoft.com/office/drawing/2014/chart" uri="{C3380CC4-5D6E-409C-BE32-E72D297353CC}">
                    <c16:uniqueId val="{00000008-D39D-4188-9CAE-7A6F18131B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'PV 30v kannattavuus 5'!$L$101</c15:sqref>
                        </c15:formulaRef>
                      </c:ext>
                    </c:extLst>
                    <c:strCache>
                      <c:ptCount val="1"/>
                      <c:pt idx="0">
                        <c:v>Sähkön myyntitulot €</c:v>
                      </c:pt>
                    </c:strCache>
                  </c:strRef>
                </c:tx>
                <c:spPr>
                  <a:solidFill>
                    <a:schemeClr val="accent1">
                      <a:lumMod val="80000"/>
                    </a:schemeClr>
                  </a:solidFill>
                  <a:ln>
                    <a:noFill/>
                  </a:ln>
                  <a:effectLst/>
                </c:spPr>
                <c:invertIfNegative val="0"/>
                <c:val>
                  <c:numRef>
                    <c:extLst xmlns:c15="http://schemas.microsoft.com/office/drawing/2012/chart">
                      <c:ext xmlns:c15="http://schemas.microsoft.com/office/drawing/2012/chart" uri="{02D57815-91ED-43cb-92C2-25804820EDAC}">
                        <c15:formulaRef>
                          <c15:sqref>'PV 30v kannattavuus 5'!$L$102:$L$113</c15:sqref>
                        </c15:formulaRef>
                      </c:ext>
                    </c:extLst>
                    <c:numCache>
                      <c:formatCode>#\ ##0.00\ "€"</c:formatCode>
                      <c:ptCount val="12"/>
                      <c:pt idx="0">
                        <c:v>0</c:v>
                      </c:pt>
                      <c:pt idx="1">
                        <c:v>0</c:v>
                      </c:pt>
                      <c:pt idx="2">
                        <c:v>0</c:v>
                      </c:pt>
                      <c:pt idx="3">
                        <c:v>2.1313008</c:v>
                      </c:pt>
                      <c:pt idx="4">
                        <c:v>6.9037083600000004</c:v>
                      </c:pt>
                      <c:pt idx="5">
                        <c:v>7.893452400000001</c:v>
                      </c:pt>
                      <c:pt idx="6">
                        <c:v>8.3047775999999995</c:v>
                      </c:pt>
                      <c:pt idx="7">
                        <c:v>3.3225536399999989</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9-D39D-4188-9CAE-7A6F18131BA2}"/>
                  </c:ext>
                </c:extLst>
              </c15:ser>
            </c15:filteredBarSeries>
          </c:ext>
        </c:extLst>
      </c:barChart>
      <c:catAx>
        <c:axId val="1809982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63268895"/>
        <c:crosses val="autoZero"/>
        <c:auto val="1"/>
        <c:lblAlgn val="ctr"/>
        <c:lblOffset val="100"/>
        <c:noMultiLvlLbl val="0"/>
      </c:catAx>
      <c:valAx>
        <c:axId val="1632688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809982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23</xdr:col>
      <xdr:colOff>-1</xdr:colOff>
      <xdr:row>38</xdr:row>
      <xdr:rowOff>4234</xdr:rowOff>
    </xdr:from>
    <xdr:to>
      <xdr:col>33</xdr:col>
      <xdr:colOff>95250</xdr:colOff>
      <xdr:row>56</xdr:row>
      <xdr:rowOff>158750</xdr:rowOff>
    </xdr:to>
    <xdr:graphicFrame macro="">
      <xdr:nvGraphicFramePr>
        <xdr:cNvPr id="2" name="Kaavio 1">
          <a:extLst>
            <a:ext uri="{FF2B5EF4-FFF2-40B4-BE49-F238E27FC236}">
              <a16:creationId xmlns:a16="http://schemas.microsoft.com/office/drawing/2014/main" id="{AE8A5808-F090-493B-8A04-A79AC5CFB2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82550</xdr:colOff>
      <xdr:row>38</xdr:row>
      <xdr:rowOff>57150</xdr:rowOff>
    </xdr:from>
    <xdr:to>
      <xdr:col>32</xdr:col>
      <xdr:colOff>232833</xdr:colOff>
      <xdr:row>61</xdr:row>
      <xdr:rowOff>10583</xdr:rowOff>
    </xdr:to>
    <xdr:graphicFrame macro="">
      <xdr:nvGraphicFramePr>
        <xdr:cNvPr id="2" name="Kaavio 1">
          <a:extLst>
            <a:ext uri="{FF2B5EF4-FFF2-40B4-BE49-F238E27FC236}">
              <a16:creationId xmlns:a16="http://schemas.microsoft.com/office/drawing/2014/main" id="{E220A22E-73F2-40D0-8EC4-9F45E69B1E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222250</xdr:colOff>
      <xdr:row>100</xdr:row>
      <xdr:rowOff>388258</xdr:rowOff>
    </xdr:from>
    <xdr:to>
      <xdr:col>17</xdr:col>
      <xdr:colOff>326570</xdr:colOff>
      <xdr:row>113</xdr:row>
      <xdr:rowOff>36286</xdr:rowOff>
    </xdr:to>
    <xdr:graphicFrame macro="">
      <xdr:nvGraphicFramePr>
        <xdr:cNvPr id="2" name="Kaavio 1">
          <a:extLst>
            <a:ext uri="{FF2B5EF4-FFF2-40B4-BE49-F238E27FC236}">
              <a16:creationId xmlns:a16="http://schemas.microsoft.com/office/drawing/2014/main" id="{6D7C5F7C-178A-49FB-84FD-5C44F44C20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222250</xdr:colOff>
      <xdr:row>100</xdr:row>
      <xdr:rowOff>388258</xdr:rowOff>
    </xdr:from>
    <xdr:to>
      <xdr:col>17</xdr:col>
      <xdr:colOff>326570</xdr:colOff>
      <xdr:row>113</xdr:row>
      <xdr:rowOff>36286</xdr:rowOff>
    </xdr:to>
    <xdr:graphicFrame macro="">
      <xdr:nvGraphicFramePr>
        <xdr:cNvPr id="2" name="Kaavio 1">
          <a:extLst>
            <a:ext uri="{FF2B5EF4-FFF2-40B4-BE49-F238E27FC236}">
              <a16:creationId xmlns:a16="http://schemas.microsoft.com/office/drawing/2014/main" id="{300AE465-515C-4859-AE28-B8109EF104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kestavyysloikka.ymparisto.fi/maalampo-laski-ison-paritaloasunnon-energiakuluja-lahes-3-000-euroa-vuodessa/" TargetMode="External"/><Relationship Id="rId2" Type="http://schemas.openxmlformats.org/officeDocument/2006/relationships/hyperlink" Target="https://www.motiva.fi/files/17067/Pitkan_aikavalin_korjausrakentamisen_strategia_2020-2050.pdf" TargetMode="External"/><Relationship Id="rId1" Type="http://schemas.openxmlformats.org/officeDocument/2006/relationships/hyperlink" Target="https://www.ymparisto.fi/fi-FI/Rakentaminen/Korjaustieto/Pientalot/Energiatehokkuus/Energiatehokas_pientalo/Energiankulutu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ara.fi/" TargetMode="External"/><Relationship Id="rId13" Type="http://schemas.openxmlformats.org/officeDocument/2006/relationships/hyperlink" Target="https://www.motiva.fi/ratkaisut/energiankaytto_suomessa/co2-paastokertoimet" TargetMode="External"/><Relationship Id="rId3" Type="http://schemas.openxmlformats.org/officeDocument/2006/relationships/hyperlink" Target="http://www.businessfinland.fi/" TargetMode="External"/><Relationship Id="rId7" Type="http://schemas.openxmlformats.org/officeDocument/2006/relationships/hyperlink" Target="http://www.businessfinland.fi/" TargetMode="External"/><Relationship Id="rId12" Type="http://schemas.openxmlformats.org/officeDocument/2006/relationships/hyperlink" Target="https://co2data.fi/rakentaminen/" TargetMode="External"/><Relationship Id="rId17" Type="http://schemas.openxmlformats.org/officeDocument/2006/relationships/comments" Target="../comments1.xml"/><Relationship Id="rId2" Type="http://schemas.openxmlformats.org/officeDocument/2006/relationships/hyperlink" Target="http://www.vero.fi/" TargetMode="External"/><Relationship Id="rId16" Type="http://schemas.openxmlformats.org/officeDocument/2006/relationships/vmlDrawing" Target="../drawings/vmlDrawing1.vml"/><Relationship Id="rId1" Type="http://schemas.openxmlformats.org/officeDocument/2006/relationships/hyperlink" Target="http://www.energia.fi/" TargetMode="External"/><Relationship Id="rId6" Type="http://schemas.openxmlformats.org/officeDocument/2006/relationships/hyperlink" Target="http://www.vero.fi/" TargetMode="External"/><Relationship Id="rId11" Type="http://schemas.openxmlformats.org/officeDocument/2006/relationships/hyperlink" Target="https://co2data.fi/rakentaminen/" TargetMode="External"/><Relationship Id="rId5" Type="http://schemas.openxmlformats.org/officeDocument/2006/relationships/hyperlink" Target="http://www.sulpu.fi/" TargetMode="External"/><Relationship Id="rId15" Type="http://schemas.openxmlformats.org/officeDocument/2006/relationships/drawing" Target="../drawings/drawing1.xml"/><Relationship Id="rId10" Type="http://schemas.openxmlformats.org/officeDocument/2006/relationships/hyperlink" Target="http://www.ilmastolaskuri.fi/" TargetMode="External"/><Relationship Id="rId4" Type="http://schemas.openxmlformats.org/officeDocument/2006/relationships/hyperlink" Target="http://www.ara.fi/" TargetMode="External"/><Relationship Id="rId9" Type="http://schemas.openxmlformats.org/officeDocument/2006/relationships/hyperlink" Target="http://www.ely-keskus.fi/web/ely/oljylammityksen-vaihtajalle" TargetMode="External"/><Relationship Id="rId1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ara.fi/" TargetMode="External"/><Relationship Id="rId13" Type="http://schemas.openxmlformats.org/officeDocument/2006/relationships/printerSettings" Target="../printerSettings/printerSettings4.bin"/><Relationship Id="rId3" Type="http://schemas.openxmlformats.org/officeDocument/2006/relationships/hyperlink" Target="http://www.businessfinland.fi/" TargetMode="External"/><Relationship Id="rId7" Type="http://schemas.openxmlformats.org/officeDocument/2006/relationships/hyperlink" Target="http://www.businessfinland.fi/" TargetMode="External"/><Relationship Id="rId12" Type="http://schemas.openxmlformats.org/officeDocument/2006/relationships/hyperlink" Target="http://www.ely-keskus.fi/web/ely/oljylammityksen-vaihtajalle" TargetMode="External"/><Relationship Id="rId2" Type="http://schemas.openxmlformats.org/officeDocument/2006/relationships/hyperlink" Target="http://www.vero.fi/" TargetMode="External"/><Relationship Id="rId16" Type="http://schemas.openxmlformats.org/officeDocument/2006/relationships/comments" Target="../comments2.xml"/><Relationship Id="rId1" Type="http://schemas.openxmlformats.org/officeDocument/2006/relationships/hyperlink" Target="http://www.energia.fi/" TargetMode="External"/><Relationship Id="rId6" Type="http://schemas.openxmlformats.org/officeDocument/2006/relationships/hyperlink" Target="http://www.vero.fi/" TargetMode="External"/><Relationship Id="rId11" Type="http://schemas.openxmlformats.org/officeDocument/2006/relationships/hyperlink" Target="https://www.motiva.fi/ratkaisut/energiankaytto_suomessa/co2-paastokertoimet" TargetMode="External"/><Relationship Id="rId5" Type="http://schemas.openxmlformats.org/officeDocument/2006/relationships/hyperlink" Target="http://www.sulpu.fi/" TargetMode="External"/><Relationship Id="rId15" Type="http://schemas.openxmlformats.org/officeDocument/2006/relationships/vmlDrawing" Target="../drawings/vmlDrawing2.vml"/><Relationship Id="rId10" Type="http://schemas.openxmlformats.org/officeDocument/2006/relationships/hyperlink" Target="https://co2data.fi/rakentaminen/" TargetMode="External"/><Relationship Id="rId4" Type="http://schemas.openxmlformats.org/officeDocument/2006/relationships/hyperlink" Target="http://www.ara.fi/" TargetMode="External"/><Relationship Id="rId9" Type="http://schemas.openxmlformats.org/officeDocument/2006/relationships/hyperlink" Target="https://co2data.fi/rakentaminen/" TargetMode="External"/><Relationship Id="rId1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s://co2data.fi/rakentaminen/" TargetMode="External"/><Relationship Id="rId7" Type="http://schemas.openxmlformats.org/officeDocument/2006/relationships/comments" Target="../comments3.xml"/><Relationship Id="rId2" Type="http://schemas.openxmlformats.org/officeDocument/2006/relationships/hyperlink" Target="https://co2data.fi/rakentaminen/" TargetMode="External"/><Relationship Id="rId1" Type="http://schemas.openxmlformats.org/officeDocument/2006/relationships/hyperlink" Target="http://www.ilmastolaskuri.fi/"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hyperlink" Target="https://www.motiva.fi/ratkaisut/energiankaytto_suomessa/co2-paastokertoimet"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co2data.fi/rakentaminen/" TargetMode="External"/><Relationship Id="rId7" Type="http://schemas.openxmlformats.org/officeDocument/2006/relationships/comments" Target="../comments4.xml"/><Relationship Id="rId2" Type="http://schemas.openxmlformats.org/officeDocument/2006/relationships/hyperlink" Target="https://co2data.fi/rakentaminen/" TargetMode="External"/><Relationship Id="rId1" Type="http://schemas.openxmlformats.org/officeDocument/2006/relationships/hyperlink" Target="http://www.ilmastolaskuri.fi/"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hyperlink" Target="https://www.motiva.fi/ratkaisut/energiankaytto_suomessa/co2-paastokertoim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24980-6671-4FDE-8868-1B3C717B0D6C}">
  <dimension ref="A1:H27"/>
  <sheetViews>
    <sheetView tabSelected="1" topLeftCell="A9" workbookViewId="0">
      <selection activeCell="B13" sqref="B13"/>
    </sheetView>
  </sheetViews>
  <sheetFormatPr defaultRowHeight="15" x14ac:dyDescent="0.25"/>
  <cols>
    <col min="3" max="3" width="10.42578125" customWidth="1"/>
  </cols>
  <sheetData>
    <row r="1" spans="1:8" x14ac:dyDescent="0.25">
      <c r="A1" s="329" t="s">
        <v>124</v>
      </c>
      <c r="B1" s="330"/>
      <c r="C1" s="330"/>
      <c r="D1" s="330"/>
      <c r="E1" s="330"/>
      <c r="F1" s="330"/>
      <c r="G1" s="330"/>
      <c r="H1" s="330"/>
    </row>
    <row r="2" spans="1:8" x14ac:dyDescent="0.25">
      <c r="A2" s="330"/>
      <c r="B2" s="330"/>
      <c r="C2" s="330"/>
      <c r="D2" s="330"/>
      <c r="E2" s="330"/>
      <c r="F2" s="330"/>
      <c r="G2" s="330"/>
      <c r="H2" s="330"/>
    </row>
    <row r="3" spans="1:8" x14ac:dyDescent="0.25">
      <c r="A3" s="330"/>
      <c r="B3" s="330"/>
      <c r="C3" s="330"/>
      <c r="D3" s="330"/>
      <c r="E3" s="330"/>
      <c r="F3" s="330"/>
      <c r="G3" s="330"/>
      <c r="H3" s="330"/>
    </row>
    <row r="4" spans="1:8" x14ac:dyDescent="0.25">
      <c r="A4" s="330"/>
      <c r="B4" s="330"/>
      <c r="C4" s="330"/>
      <c r="D4" s="330"/>
      <c r="E4" s="330"/>
      <c r="F4" s="330"/>
      <c r="G4" s="330"/>
      <c r="H4" s="330"/>
    </row>
    <row r="5" spans="1:8" x14ac:dyDescent="0.25">
      <c r="A5" s="330"/>
      <c r="B5" s="330"/>
      <c r="C5" s="330"/>
      <c r="D5" s="330"/>
      <c r="E5" s="330"/>
      <c r="F5" s="330"/>
      <c r="G5" s="330"/>
      <c r="H5" s="330"/>
    </row>
    <row r="7" spans="1:8" x14ac:dyDescent="0.25">
      <c r="A7" s="331" t="s">
        <v>125</v>
      </c>
      <c r="B7" s="331"/>
      <c r="C7" s="331"/>
      <c r="D7" s="331"/>
      <c r="E7" s="331"/>
      <c r="F7" s="331"/>
      <c r="G7" s="331"/>
      <c r="H7" s="331"/>
    </row>
    <row r="8" spans="1:8" x14ac:dyDescent="0.25">
      <c r="A8" s="331"/>
      <c r="B8" s="331"/>
      <c r="C8" s="331"/>
      <c r="D8" s="331"/>
      <c r="E8" s="331"/>
      <c r="F8" s="331"/>
      <c r="G8" s="331"/>
      <c r="H8" s="331"/>
    </row>
    <row r="9" spans="1:8" x14ac:dyDescent="0.25">
      <c r="A9" s="332" t="s">
        <v>126</v>
      </c>
      <c r="B9" s="332"/>
      <c r="C9" s="332"/>
      <c r="D9" s="332"/>
      <c r="E9" s="332"/>
      <c r="F9" s="332"/>
      <c r="G9" s="332"/>
      <c r="H9" s="332"/>
    </row>
    <row r="10" spans="1:8" x14ac:dyDescent="0.25">
      <c r="A10" s="332"/>
      <c r="B10" s="332"/>
      <c r="C10" s="332"/>
      <c r="D10" s="332"/>
      <c r="E10" s="332"/>
      <c r="F10" s="332"/>
      <c r="G10" s="332"/>
      <c r="H10" s="332"/>
    </row>
    <row r="11" spans="1:8" x14ac:dyDescent="0.25">
      <c r="A11" s="331" t="s">
        <v>132</v>
      </c>
      <c r="B11" s="331"/>
      <c r="C11" s="331"/>
      <c r="D11" s="331"/>
      <c r="E11" s="331"/>
      <c r="F11" s="331"/>
      <c r="G11" s="331"/>
      <c r="H11" s="331"/>
    </row>
    <row r="12" spans="1:8" x14ac:dyDescent="0.25">
      <c r="A12" s="331"/>
      <c r="B12" s="331"/>
      <c r="C12" s="331"/>
      <c r="D12" s="331"/>
      <c r="E12" s="331"/>
      <c r="F12" s="331"/>
      <c r="G12" s="331"/>
      <c r="H12" s="331"/>
    </row>
    <row r="13" spans="1:8" x14ac:dyDescent="0.25">
      <c r="A13" s="84"/>
      <c r="B13" s="84"/>
      <c r="C13" s="84"/>
      <c r="D13" s="84"/>
      <c r="E13" s="84"/>
      <c r="F13" s="84"/>
      <c r="G13" s="84"/>
      <c r="H13" s="84"/>
    </row>
    <row r="14" spans="1:8" x14ac:dyDescent="0.25">
      <c r="A14" s="331" t="s">
        <v>127</v>
      </c>
      <c r="B14" s="331"/>
      <c r="C14" s="331"/>
      <c r="D14" s="331"/>
      <c r="E14" s="331"/>
      <c r="F14" s="331"/>
      <c r="G14" s="331"/>
      <c r="H14" s="331"/>
    </row>
    <row r="15" spans="1:8" x14ac:dyDescent="0.25">
      <c r="A15" s="331"/>
      <c r="B15" s="331"/>
      <c r="C15" s="331"/>
      <c r="D15" s="331"/>
      <c r="E15" s="331"/>
      <c r="F15" s="331"/>
      <c r="G15" s="331"/>
      <c r="H15" s="331"/>
    </row>
    <row r="16" spans="1:8" x14ac:dyDescent="0.25">
      <c r="A16" s="331"/>
      <c r="B16" s="331"/>
      <c r="C16" s="331"/>
      <c r="D16" s="331"/>
      <c r="E16" s="331"/>
      <c r="F16" s="331"/>
      <c r="G16" s="331"/>
      <c r="H16" s="331"/>
    </row>
    <row r="18" spans="1:8" x14ac:dyDescent="0.25">
      <c r="A18" s="333" t="s">
        <v>227</v>
      </c>
      <c r="B18" s="333"/>
      <c r="C18" s="333"/>
      <c r="D18" s="333"/>
      <c r="E18" s="333"/>
      <c r="F18" s="333"/>
      <c r="G18" s="333"/>
      <c r="H18" s="333"/>
    </row>
    <row r="19" spans="1:8" x14ac:dyDescent="0.25">
      <c r="A19" s="333"/>
      <c r="B19" s="333"/>
      <c r="C19" s="333"/>
      <c r="D19" s="333"/>
      <c r="E19" s="333"/>
      <c r="F19" s="333"/>
      <c r="G19" s="333"/>
      <c r="H19" s="333"/>
    </row>
    <row r="22" spans="1:8" x14ac:dyDescent="0.25">
      <c r="B22" t="s">
        <v>128</v>
      </c>
      <c r="C22" t="s">
        <v>129</v>
      </c>
      <c r="D22" t="s">
        <v>123</v>
      </c>
    </row>
    <row r="23" spans="1:8" x14ac:dyDescent="0.25">
      <c r="B23" s="326" t="s">
        <v>245</v>
      </c>
      <c r="C23" s="327">
        <v>44091</v>
      </c>
      <c r="D23" s="328" t="s">
        <v>246</v>
      </c>
      <c r="E23" s="328"/>
      <c r="F23" s="328"/>
      <c r="G23" s="328"/>
      <c r="H23" s="328"/>
    </row>
    <row r="24" spans="1:8" x14ac:dyDescent="0.25">
      <c r="B24" s="326"/>
      <c r="C24" s="327"/>
      <c r="D24" s="328"/>
      <c r="E24" s="328"/>
      <c r="F24" s="328"/>
      <c r="G24" s="328"/>
      <c r="H24" s="328"/>
    </row>
    <row r="27" spans="1:8" ht="15.75" x14ac:dyDescent="0.25">
      <c r="B27" s="252" t="s">
        <v>279</v>
      </c>
    </row>
  </sheetData>
  <mergeCells count="9">
    <mergeCell ref="B23:B24"/>
    <mergeCell ref="C23:C24"/>
    <mergeCell ref="D23:H24"/>
    <mergeCell ref="A1:H5"/>
    <mergeCell ref="A7:H8"/>
    <mergeCell ref="A9:H10"/>
    <mergeCell ref="A11:H12"/>
    <mergeCell ref="A14:H16"/>
    <mergeCell ref="A18:H1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FFEFC-761A-4AED-A550-E823656C83CE}">
  <sheetPr>
    <outlinePr summaryBelow="0" summaryRight="0"/>
  </sheetPr>
  <dimension ref="A1:K926"/>
  <sheetViews>
    <sheetView showGridLines="0" zoomScale="85" zoomScaleNormal="85" workbookViewId="0">
      <selection activeCell="A2" sqref="A2"/>
    </sheetView>
  </sheetViews>
  <sheetFormatPr defaultColWidth="14.5703125" defaultRowHeight="15" customHeight="1" x14ac:dyDescent="0.25"/>
  <cols>
    <col min="1" max="1" width="25.5703125" style="2" customWidth="1"/>
    <col min="2" max="2" width="15.5703125" style="2" customWidth="1"/>
    <col min="3" max="3" width="25.5703125" style="2" customWidth="1"/>
    <col min="4" max="4" width="20.5703125" style="2" customWidth="1"/>
    <col min="5" max="5" width="18.140625" style="2" customWidth="1"/>
    <col min="6" max="7" width="15.5703125" style="2" customWidth="1"/>
    <col min="8" max="8" width="25.5703125" style="2" customWidth="1"/>
    <col min="9" max="10" width="15.5703125" style="2" customWidth="1"/>
    <col min="11" max="11" width="30.5703125" style="2" customWidth="1"/>
    <col min="12" max="12" width="15.140625" style="2" customWidth="1"/>
    <col min="13" max="13" width="15.5703125" style="2" customWidth="1"/>
    <col min="14" max="14" width="20.85546875" style="2" customWidth="1"/>
    <col min="15" max="15" width="15.42578125" style="2" customWidth="1"/>
    <col min="16" max="16" width="13.140625" style="2" customWidth="1"/>
    <col min="17" max="17" width="14.5703125" style="2" customWidth="1"/>
    <col min="18" max="16384" width="14.5703125" style="2"/>
  </cols>
  <sheetData>
    <row r="1" spans="1:9" ht="21" customHeight="1" x14ac:dyDescent="0.25">
      <c r="A1" s="336" t="s">
        <v>109</v>
      </c>
      <c r="B1" s="336"/>
      <c r="C1" s="336"/>
      <c r="D1" s="336"/>
      <c r="E1" s="336"/>
      <c r="F1" s="336"/>
      <c r="G1" s="336"/>
    </row>
    <row r="2" spans="1:9" ht="18.75" x14ac:dyDescent="0.3">
      <c r="A2" s="1"/>
    </row>
    <row r="3" spans="1:9" ht="30.95" customHeight="1" x14ac:dyDescent="0.25">
      <c r="A3" s="334" t="s">
        <v>252</v>
      </c>
      <c r="B3" s="334"/>
      <c r="C3" s="334"/>
      <c r="D3" s="334"/>
      <c r="E3" s="334"/>
      <c r="F3" s="334"/>
      <c r="G3" s="334"/>
      <c r="H3" s="302"/>
      <c r="I3" s="302"/>
    </row>
    <row r="4" spans="1:9" ht="30.95" customHeight="1" x14ac:dyDescent="0.25">
      <c r="A4" s="334" t="s">
        <v>264</v>
      </c>
      <c r="B4" s="334"/>
      <c r="C4" s="334"/>
      <c r="D4" s="334"/>
      <c r="E4" s="334"/>
      <c r="F4" s="334"/>
      <c r="G4" s="334"/>
      <c r="H4" s="302"/>
      <c r="I4" s="302"/>
    </row>
    <row r="5" spans="1:9" s="83" customFormat="1" ht="15.75" x14ac:dyDescent="0.25">
      <c r="A5" s="335" t="s">
        <v>253</v>
      </c>
      <c r="B5" s="335"/>
      <c r="C5" s="335"/>
      <c r="D5" s="335"/>
      <c r="E5" s="335"/>
      <c r="F5" s="335"/>
      <c r="G5" s="317"/>
      <c r="H5" s="302"/>
      <c r="I5" s="302"/>
    </row>
    <row r="6" spans="1:9" s="104" customFormat="1" ht="15.75" x14ac:dyDescent="0.25">
      <c r="A6" s="294" t="s">
        <v>133</v>
      </c>
      <c r="B6" s="295"/>
      <c r="C6" s="296" t="s">
        <v>134</v>
      </c>
      <c r="D6" s="295"/>
      <c r="E6" s="295"/>
      <c r="F6" s="295"/>
      <c r="G6" s="295"/>
    </row>
    <row r="7" spans="1:9" s="83" customFormat="1" ht="30.95" customHeight="1" x14ac:dyDescent="0.25">
      <c r="A7" s="334" t="s">
        <v>248</v>
      </c>
      <c r="B7" s="334"/>
      <c r="C7" s="334"/>
      <c r="D7" s="334"/>
      <c r="E7" s="334"/>
      <c r="F7" s="334"/>
      <c r="G7" s="334"/>
      <c r="H7" s="302"/>
      <c r="I7" s="302"/>
    </row>
    <row r="8" spans="1:9" s="104" customFormat="1" ht="15.75" x14ac:dyDescent="0.25">
      <c r="A8" s="294" t="s">
        <v>133</v>
      </c>
      <c r="B8" s="295"/>
      <c r="C8" s="296" t="s">
        <v>247</v>
      </c>
      <c r="D8" s="295"/>
      <c r="E8" s="295"/>
      <c r="F8" s="295"/>
      <c r="G8" s="295"/>
    </row>
    <row r="9" spans="1:9" ht="15.75" x14ac:dyDescent="0.25">
      <c r="A9" s="6"/>
    </row>
    <row r="10" spans="1:9" ht="15.75" x14ac:dyDescent="0.25">
      <c r="A10" s="334" t="s">
        <v>241</v>
      </c>
      <c r="B10" s="334"/>
      <c r="C10" s="334"/>
      <c r="D10" s="334"/>
      <c r="E10" s="334"/>
      <c r="F10" s="334"/>
      <c r="G10" s="295"/>
    </row>
    <row r="11" spans="1:9" s="75" customFormat="1" ht="30.95" customHeight="1" x14ac:dyDescent="0.25">
      <c r="A11" s="334" t="s">
        <v>237</v>
      </c>
      <c r="B11" s="334"/>
      <c r="C11" s="334"/>
      <c r="D11" s="334"/>
      <c r="E11" s="334"/>
      <c r="F11" s="334"/>
      <c r="G11" s="334"/>
      <c r="H11" s="302"/>
      <c r="I11" s="302"/>
    </row>
    <row r="12" spans="1:9" ht="15.75" x14ac:dyDescent="0.25">
      <c r="A12" s="335" t="s">
        <v>228</v>
      </c>
      <c r="B12" s="335"/>
      <c r="C12" s="335"/>
      <c r="D12" s="335"/>
      <c r="E12" s="335"/>
      <c r="F12" s="335"/>
      <c r="G12" s="295"/>
    </row>
    <row r="13" spans="1:9" ht="15.75" x14ac:dyDescent="0.25">
      <c r="A13" s="40"/>
    </row>
    <row r="14" spans="1:9" ht="15.75" x14ac:dyDescent="0.25">
      <c r="A14" s="289" t="s">
        <v>44</v>
      </c>
    </row>
    <row r="15" spans="1:9" s="75" customFormat="1" ht="15.75" x14ac:dyDescent="0.25">
      <c r="A15" s="75" t="s">
        <v>238</v>
      </c>
    </row>
    <row r="16" spans="1:9" ht="15.75" x14ac:dyDescent="0.25">
      <c r="A16" s="85" t="s">
        <v>130</v>
      </c>
    </row>
    <row r="17" spans="1:11" ht="78.75" x14ac:dyDescent="0.25">
      <c r="A17" s="297" t="s">
        <v>243</v>
      </c>
      <c r="B17" s="7" t="s">
        <v>265</v>
      </c>
      <c r="C17" s="41" t="s">
        <v>106</v>
      </c>
      <c r="D17" s="5" t="s">
        <v>135</v>
      </c>
      <c r="E17" s="304" t="s">
        <v>240</v>
      </c>
      <c r="F17" s="73" t="s">
        <v>136</v>
      </c>
      <c r="G17" s="73" t="s">
        <v>239</v>
      </c>
      <c r="H17" s="73" t="s">
        <v>229</v>
      </c>
      <c r="I17" s="73" t="s">
        <v>235</v>
      </c>
      <c r="J17" s="73" t="s">
        <v>266</v>
      </c>
      <c r="K17" s="72" t="s">
        <v>123</v>
      </c>
    </row>
    <row r="18" spans="1:11" ht="15.75" x14ac:dyDescent="0.25">
      <c r="A18" s="298">
        <v>0.7</v>
      </c>
      <c r="B18" s="291">
        <f>'IVLP 20v kannattavuus'!D19</f>
        <v>10000</v>
      </c>
      <c r="C18" s="87" t="s">
        <v>45</v>
      </c>
      <c r="D18" s="78">
        <f>'IVLP 20v kannattavuus'!D77</f>
        <v>16928.292184859714</v>
      </c>
      <c r="E18" s="80">
        <f>'IVLP 20v kannattavuus'!D78</f>
        <v>5</v>
      </c>
      <c r="F18" s="307">
        <f>'IVLP 20v kannattavuus'!D80</f>
        <v>0.30116198654868609</v>
      </c>
      <c r="G18" s="74">
        <f>('IVLP 20v kannattavuus'!J105-'IVLP 20v kannattavuus'!D71)</f>
        <v>548.79999999999984</v>
      </c>
      <c r="H18" s="74">
        <f>'IVLP 20v kannattavuus'!D88</f>
        <v>2554.9440000000009</v>
      </c>
      <c r="I18" s="103">
        <f>'IVLP 20v kannattavuus'!D69</f>
        <v>0.70000000000000007</v>
      </c>
      <c r="J18" s="293">
        <f>'IVLP 20v kannattavuus'!D70</f>
        <v>6000</v>
      </c>
      <c r="K18" s="278" t="s">
        <v>260</v>
      </c>
    </row>
    <row r="19" spans="1:11" s="3" customFormat="1" ht="15.75" x14ac:dyDescent="0.25">
      <c r="A19" s="299">
        <v>0.75</v>
      </c>
      <c r="B19" s="323">
        <v>12000</v>
      </c>
      <c r="C19" s="86" t="s">
        <v>45</v>
      </c>
      <c r="D19" s="79">
        <v>16796</v>
      </c>
      <c r="E19" s="81">
        <v>7</v>
      </c>
      <c r="F19" s="308">
        <v>0.183</v>
      </c>
      <c r="G19" s="81">
        <v>588</v>
      </c>
      <c r="H19" s="77">
        <v>2382</v>
      </c>
      <c r="I19" s="102">
        <v>0.75</v>
      </c>
      <c r="J19" s="303">
        <v>8000</v>
      </c>
      <c r="K19" s="86" t="s">
        <v>258</v>
      </c>
    </row>
    <row r="20" spans="1:11" s="88" customFormat="1" ht="15.75" x14ac:dyDescent="0.25">
      <c r="A20" s="89"/>
      <c r="B20" s="90"/>
      <c r="C20" s="91"/>
      <c r="D20" s="92"/>
      <c r="E20" s="93"/>
      <c r="F20" s="94"/>
      <c r="G20" s="95"/>
    </row>
    <row r="21" spans="1:11" s="88" customFormat="1" ht="63" x14ac:dyDescent="0.25">
      <c r="A21" s="309" t="s">
        <v>244</v>
      </c>
      <c r="B21" s="7" t="s">
        <v>265</v>
      </c>
      <c r="C21" s="41" t="s">
        <v>106</v>
      </c>
      <c r="D21" s="5" t="s">
        <v>135</v>
      </c>
      <c r="E21" s="304" t="s">
        <v>240</v>
      </c>
      <c r="F21" s="73" t="s">
        <v>136</v>
      </c>
      <c r="G21" s="73" t="s">
        <v>239</v>
      </c>
      <c r="H21" s="71" t="s">
        <v>122</v>
      </c>
      <c r="I21" s="73" t="s">
        <v>235</v>
      </c>
      <c r="J21" s="73" t="s">
        <v>266</v>
      </c>
      <c r="K21" s="82" t="s">
        <v>123</v>
      </c>
    </row>
    <row r="22" spans="1:11" s="88" customFormat="1" ht="15.75" x14ac:dyDescent="0.25">
      <c r="A22" s="298">
        <v>0.96</v>
      </c>
      <c r="B22" s="292">
        <f>'MLP 25v kannattavuus'!D19</f>
        <v>17000</v>
      </c>
      <c r="C22" s="87" t="s">
        <v>45</v>
      </c>
      <c r="D22" s="78">
        <f>'MLP 25v kannattavuus'!D82</f>
        <v>29026.138477943234</v>
      </c>
      <c r="E22" s="80">
        <f>'MLP 25v kannattavuus'!D83</f>
        <v>8</v>
      </c>
      <c r="F22" s="307">
        <f>'MLP 25v kannattavuus'!D85</f>
        <v>0.12946865421536669</v>
      </c>
      <c r="G22" s="74">
        <f>('MLP 25v kannattavuus'!J110-'MLP 25v kannattavuus'!D76)</f>
        <v>940.80000000000041</v>
      </c>
      <c r="H22" s="74">
        <f>'MLP 25v kannattavuus'!D93</f>
        <v>3616.8192000000004</v>
      </c>
      <c r="I22" s="103">
        <f>'MLP 25v kannattavuus'!D74</f>
        <v>0.95999999999999985</v>
      </c>
      <c r="J22" s="293">
        <f>'MLP 25v kannattavuus'!D75</f>
        <v>13005</v>
      </c>
      <c r="K22" s="278" t="s">
        <v>258</v>
      </c>
    </row>
    <row r="23" spans="1:11" s="104" customFormat="1" ht="15.75" x14ac:dyDescent="0.25">
      <c r="A23" s="299">
        <v>0.98</v>
      </c>
      <c r="B23" s="310">
        <v>20000</v>
      </c>
      <c r="C23" s="86" t="s">
        <v>45</v>
      </c>
      <c r="D23" s="79">
        <v>27690</v>
      </c>
      <c r="E23" s="81">
        <v>9</v>
      </c>
      <c r="F23" s="311">
        <v>0.106</v>
      </c>
      <c r="G23" s="81">
        <v>960</v>
      </c>
      <c r="H23" s="81">
        <v>3330</v>
      </c>
      <c r="I23" s="102">
        <v>0.98</v>
      </c>
      <c r="J23" s="303">
        <v>15300</v>
      </c>
      <c r="K23" s="86" t="s">
        <v>259</v>
      </c>
    </row>
    <row r="24" spans="1:11" ht="15.75" x14ac:dyDescent="0.25"/>
    <row r="25" spans="1:11" ht="63" x14ac:dyDescent="0.25">
      <c r="A25" s="297" t="s">
        <v>236</v>
      </c>
      <c r="B25" s="7" t="s">
        <v>265</v>
      </c>
      <c r="C25" s="5" t="s">
        <v>43</v>
      </c>
      <c r="D25" s="5" t="s">
        <v>135</v>
      </c>
      <c r="E25" s="304" t="s">
        <v>240</v>
      </c>
      <c r="F25" s="73" t="s">
        <v>136</v>
      </c>
      <c r="G25" s="73" t="s">
        <v>239</v>
      </c>
      <c r="H25" s="73" t="s">
        <v>122</v>
      </c>
      <c r="I25" s="73" t="s">
        <v>235</v>
      </c>
      <c r="J25" s="73" t="s">
        <v>266</v>
      </c>
      <c r="K25" s="72" t="s">
        <v>123</v>
      </c>
    </row>
    <row r="26" spans="1:11" ht="31.5" x14ac:dyDescent="0.25">
      <c r="A26" s="300" t="s">
        <v>254</v>
      </c>
      <c r="B26" s="292">
        <f>'PV 30v kannattavuus 3'!F27</f>
        <v>5950</v>
      </c>
      <c r="C26" s="279" t="s">
        <v>226</v>
      </c>
      <c r="D26" s="78">
        <f>'PV 30v kannattavuus 3'!E78</f>
        <v>5662.280668769039</v>
      </c>
      <c r="E26" s="80">
        <f>'PV 30v kannattavuus 3'!E79</f>
        <v>15</v>
      </c>
      <c r="F26" s="312">
        <f>'PV 30v kannattavuus 3'!E80</f>
        <v>5.3149668080025192E-2</v>
      </c>
      <c r="G26" s="74">
        <f>'PV 30v kannattavuus 3'!K114+'PV 30v kannattavuus 3'!L114</f>
        <v>422.72966934654107</v>
      </c>
      <c r="H26" s="74">
        <f>'PV 30v kannattavuus 3'!D91</f>
        <v>243.93600000000001</v>
      </c>
      <c r="I26" s="313">
        <f>'PV 30v kannattavuus 3'!F18</f>
        <v>3.3</v>
      </c>
      <c r="J26" s="293">
        <f>'PV 30v kannattavuus 3'!F31</f>
        <v>5355</v>
      </c>
      <c r="K26" s="278"/>
    </row>
    <row r="27" spans="1:11" ht="31.5" x14ac:dyDescent="0.25">
      <c r="A27" s="301" t="s">
        <v>255</v>
      </c>
      <c r="B27" s="293">
        <f>'PV 30v kannattavuus 5'!F27</f>
        <v>7250</v>
      </c>
      <c r="C27" s="280" t="s">
        <v>226</v>
      </c>
      <c r="D27" s="281">
        <f>'PV 30v kannattavuus 5'!E78</f>
        <v>10134.921003153575</v>
      </c>
      <c r="E27" s="74">
        <f>'PV 30v kannattavuus 5'!E79</f>
        <v>11</v>
      </c>
      <c r="F27" s="312">
        <f>'PV 30v kannattavuus 5'!E80</f>
        <v>7.3284578157885472E-2</v>
      </c>
      <c r="G27" s="74">
        <f>'PV 30v kannattavuus 5'!K114+'PV 30v kannattavuus 5'!L114</f>
        <v>650.32315845981179</v>
      </c>
      <c r="H27" s="74">
        <f>'PV 30v kannattavuus 5'!D91</f>
        <v>365.904</v>
      </c>
      <c r="I27" s="313">
        <f>'PV 30v kannattavuus 5'!F18</f>
        <v>4.95</v>
      </c>
      <c r="J27" s="293">
        <f>'PV 30v kannattavuus 5'!F31</f>
        <v>6525</v>
      </c>
      <c r="K27" s="278"/>
    </row>
    <row r="28" spans="1:11" ht="15.75" x14ac:dyDescent="0.25"/>
    <row r="29" spans="1:11" ht="15.75" x14ac:dyDescent="0.25">
      <c r="A29" s="2" t="s">
        <v>234</v>
      </c>
    </row>
    <row r="30" spans="1:11" ht="15.75" x14ac:dyDescent="0.25">
      <c r="B30" s="76"/>
    </row>
    <row r="31" spans="1:11" s="3" customFormat="1" ht="15.75" x14ac:dyDescent="0.25">
      <c r="B31" s="10" t="s">
        <v>280</v>
      </c>
    </row>
    <row r="32" spans="1:11" ht="15.75" x14ac:dyDescent="0.25">
      <c r="B32" s="76"/>
    </row>
    <row r="33" ht="15.75" x14ac:dyDescent="0.25"/>
    <row r="34" ht="15.75" x14ac:dyDescent="0.25"/>
    <row r="35" ht="15.75" x14ac:dyDescent="0.25"/>
    <row r="36" ht="15.75" x14ac:dyDescent="0.25"/>
    <row r="37" ht="15.75" x14ac:dyDescent="0.25"/>
    <row r="38" ht="15.75" x14ac:dyDescent="0.25"/>
    <row r="39" ht="15.75" x14ac:dyDescent="0.25"/>
    <row r="40" ht="15.75" x14ac:dyDescent="0.25"/>
    <row r="41" ht="15.75" x14ac:dyDescent="0.25"/>
    <row r="42" ht="15.75" x14ac:dyDescent="0.25"/>
    <row r="43" ht="15.75" x14ac:dyDescent="0.25"/>
    <row r="44" ht="15.75" x14ac:dyDescent="0.25"/>
    <row r="45" ht="15.75" x14ac:dyDescent="0.25"/>
    <row r="46" ht="15.75" x14ac:dyDescent="0.25"/>
    <row r="47" ht="15.75" x14ac:dyDescent="0.25"/>
    <row r="48" ht="15.75" x14ac:dyDescent="0.25"/>
    <row r="49" ht="15.75" x14ac:dyDescent="0.25"/>
    <row r="50" ht="15.75" x14ac:dyDescent="0.25"/>
    <row r="51" ht="15.75" x14ac:dyDescent="0.25"/>
    <row r="52" ht="15.75" x14ac:dyDescent="0.25"/>
    <row r="53" ht="15.75" x14ac:dyDescent="0.25"/>
    <row r="54" ht="15.75" x14ac:dyDescent="0.25"/>
    <row r="55" ht="15.75" x14ac:dyDescent="0.25"/>
    <row r="56" ht="15.75" x14ac:dyDescent="0.25"/>
    <row r="57" ht="15.75" x14ac:dyDescent="0.25"/>
    <row r="58" ht="15.75" x14ac:dyDescent="0.25"/>
    <row r="59" ht="15.75" x14ac:dyDescent="0.25"/>
    <row r="60" ht="15.75" x14ac:dyDescent="0.25"/>
    <row r="61" ht="15.75" x14ac:dyDescent="0.25"/>
    <row r="62" ht="15.75" x14ac:dyDescent="0.25"/>
    <row r="63" ht="15.75" x14ac:dyDescent="0.25"/>
    <row r="64" ht="15.75" x14ac:dyDescent="0.25"/>
    <row r="65" ht="15.75" x14ac:dyDescent="0.25"/>
    <row r="66" ht="15.75" x14ac:dyDescent="0.25"/>
    <row r="67" ht="15.75" x14ac:dyDescent="0.25"/>
    <row r="68" ht="15.75" x14ac:dyDescent="0.25"/>
    <row r="69" ht="15.75" x14ac:dyDescent="0.25"/>
    <row r="70" ht="15.75" x14ac:dyDescent="0.25"/>
    <row r="71" ht="15.75" x14ac:dyDescent="0.25"/>
    <row r="72" ht="15.75" x14ac:dyDescent="0.25"/>
    <row r="73" ht="15.75" x14ac:dyDescent="0.25"/>
    <row r="74" ht="15.75" x14ac:dyDescent="0.25"/>
    <row r="75" ht="15.75" x14ac:dyDescent="0.25"/>
    <row r="76" ht="15.75" x14ac:dyDescent="0.25"/>
    <row r="77" ht="15.75" x14ac:dyDescent="0.25"/>
    <row r="78" ht="15.75" x14ac:dyDescent="0.25"/>
    <row r="79" ht="15.75" x14ac:dyDescent="0.25"/>
    <row r="80" ht="15.75" x14ac:dyDescent="0.25"/>
    <row r="81" ht="15.75" x14ac:dyDescent="0.25"/>
    <row r="82" ht="15.75" x14ac:dyDescent="0.25"/>
    <row r="83" ht="15.75" x14ac:dyDescent="0.25"/>
    <row r="84" ht="15.75" x14ac:dyDescent="0.25"/>
    <row r="85" ht="15.75" x14ac:dyDescent="0.25"/>
    <row r="86" ht="15.75" x14ac:dyDescent="0.25"/>
    <row r="87" ht="15.75" x14ac:dyDescent="0.25"/>
    <row r="88" ht="15.75" x14ac:dyDescent="0.25"/>
    <row r="89" ht="15.75" x14ac:dyDescent="0.25"/>
    <row r="90" ht="15.75" x14ac:dyDescent="0.25"/>
    <row r="91" ht="15.75" x14ac:dyDescent="0.25"/>
    <row r="92" ht="15.75" x14ac:dyDescent="0.25"/>
    <row r="93" ht="15.75" x14ac:dyDescent="0.25"/>
    <row r="94" ht="15.75" x14ac:dyDescent="0.25"/>
    <row r="95" ht="15.75" x14ac:dyDescent="0.25"/>
    <row r="96" ht="15.75" x14ac:dyDescent="0.25"/>
    <row r="97" ht="15.75" x14ac:dyDescent="0.25"/>
    <row r="98" ht="15.75" x14ac:dyDescent="0.25"/>
    <row r="99" ht="15.75" x14ac:dyDescent="0.25"/>
    <row r="100" ht="15.75" x14ac:dyDescent="0.25"/>
    <row r="101" ht="15.75" x14ac:dyDescent="0.25"/>
    <row r="102" ht="15.75" x14ac:dyDescent="0.25"/>
    <row r="103" ht="15.75" x14ac:dyDescent="0.25"/>
    <row r="104" ht="15.75" x14ac:dyDescent="0.25"/>
    <row r="105" ht="15.75" x14ac:dyDescent="0.25"/>
    <row r="106" ht="15.75" x14ac:dyDescent="0.25"/>
    <row r="107" ht="15.75" x14ac:dyDescent="0.25"/>
    <row r="108" ht="15.75" x14ac:dyDescent="0.25"/>
    <row r="109" ht="15.75" x14ac:dyDescent="0.25"/>
    <row r="110" ht="15.75" x14ac:dyDescent="0.25"/>
    <row r="111" ht="15.75" x14ac:dyDescent="0.25"/>
    <row r="112" ht="15.75" x14ac:dyDescent="0.25"/>
    <row r="113" ht="15.75" x14ac:dyDescent="0.25"/>
    <row r="114" ht="15.75" x14ac:dyDescent="0.25"/>
    <row r="115" ht="15.75" x14ac:dyDescent="0.25"/>
    <row r="116" ht="15.75" x14ac:dyDescent="0.25"/>
    <row r="117" ht="15.75" x14ac:dyDescent="0.25"/>
    <row r="118" ht="15.75" x14ac:dyDescent="0.25"/>
    <row r="119" ht="15.75" x14ac:dyDescent="0.25"/>
    <row r="120" ht="15.75" x14ac:dyDescent="0.25"/>
    <row r="121" ht="15.75" x14ac:dyDescent="0.25"/>
    <row r="122" ht="15.75" x14ac:dyDescent="0.25"/>
    <row r="123" ht="15.75" x14ac:dyDescent="0.25"/>
    <row r="124" ht="15.75" x14ac:dyDescent="0.25"/>
    <row r="125" ht="15.75" x14ac:dyDescent="0.25"/>
    <row r="126" ht="15.75" x14ac:dyDescent="0.25"/>
    <row r="127" ht="15.75" x14ac:dyDescent="0.25"/>
    <row r="128" ht="15.75" x14ac:dyDescent="0.25"/>
    <row r="129" ht="15.75" x14ac:dyDescent="0.25"/>
    <row r="130" ht="15.75" x14ac:dyDescent="0.25"/>
    <row r="131" ht="15.75" x14ac:dyDescent="0.25"/>
    <row r="132" ht="15.75" x14ac:dyDescent="0.25"/>
    <row r="133" ht="15.75" x14ac:dyDescent="0.25"/>
    <row r="134" ht="15.75" x14ac:dyDescent="0.25"/>
    <row r="135" ht="15.75" x14ac:dyDescent="0.25"/>
    <row r="136" ht="15.75" x14ac:dyDescent="0.25"/>
    <row r="137" ht="15.75" x14ac:dyDescent="0.25"/>
    <row r="138" ht="15.75" x14ac:dyDescent="0.25"/>
    <row r="139" ht="15.75" x14ac:dyDescent="0.25"/>
    <row r="140" ht="15.75" x14ac:dyDescent="0.25"/>
    <row r="141" ht="15.75" x14ac:dyDescent="0.25"/>
    <row r="142" ht="15.75" x14ac:dyDescent="0.25"/>
    <row r="143" ht="15.75" x14ac:dyDescent="0.25"/>
    <row r="144" ht="15.75" x14ac:dyDescent="0.25"/>
    <row r="145" ht="15.75" x14ac:dyDescent="0.25"/>
    <row r="146" ht="15.75" x14ac:dyDescent="0.25"/>
    <row r="147" ht="15.75" x14ac:dyDescent="0.25"/>
    <row r="148" ht="15.75" x14ac:dyDescent="0.25"/>
    <row r="149" ht="15.75" x14ac:dyDescent="0.25"/>
    <row r="150" ht="15.75" x14ac:dyDescent="0.25"/>
    <row r="151" ht="15.75" x14ac:dyDescent="0.25"/>
    <row r="152" ht="15.75" x14ac:dyDescent="0.25"/>
    <row r="153" ht="15.75" x14ac:dyDescent="0.25"/>
    <row r="154" ht="15.75" x14ac:dyDescent="0.25"/>
    <row r="155" ht="15.75" x14ac:dyDescent="0.25"/>
    <row r="156" ht="15.75" x14ac:dyDescent="0.25"/>
    <row r="157" ht="15.75" x14ac:dyDescent="0.25"/>
    <row r="158" ht="15.75" x14ac:dyDescent="0.25"/>
    <row r="159" ht="15.75" x14ac:dyDescent="0.25"/>
    <row r="160" ht="15.75" x14ac:dyDescent="0.25"/>
    <row r="161" ht="15.75" x14ac:dyDescent="0.25"/>
    <row r="162" ht="15.75" x14ac:dyDescent="0.25"/>
    <row r="163" ht="15.75" x14ac:dyDescent="0.25"/>
    <row r="164" ht="15.75" x14ac:dyDescent="0.25"/>
    <row r="165" ht="15.75" x14ac:dyDescent="0.25"/>
    <row r="166" ht="15.75" x14ac:dyDescent="0.25"/>
    <row r="167" ht="15.75" x14ac:dyDescent="0.25"/>
    <row r="168" ht="15.75" x14ac:dyDescent="0.25"/>
    <row r="169" ht="15.75" x14ac:dyDescent="0.25"/>
    <row r="170" ht="15.75" x14ac:dyDescent="0.25"/>
    <row r="171" ht="15.75" x14ac:dyDescent="0.25"/>
    <row r="172" ht="15.75" x14ac:dyDescent="0.25"/>
    <row r="173" ht="15.75" x14ac:dyDescent="0.25"/>
    <row r="174" ht="15.75" x14ac:dyDescent="0.25"/>
    <row r="175" ht="15.75" x14ac:dyDescent="0.25"/>
    <row r="176" ht="15.75" x14ac:dyDescent="0.25"/>
    <row r="177" ht="15.75" x14ac:dyDescent="0.25"/>
    <row r="178" ht="15.75" x14ac:dyDescent="0.25"/>
    <row r="179" ht="15.75" x14ac:dyDescent="0.25"/>
    <row r="180" ht="15.75" x14ac:dyDescent="0.25"/>
    <row r="181" ht="15.75" x14ac:dyDescent="0.25"/>
    <row r="182" ht="15.75" x14ac:dyDescent="0.25"/>
    <row r="183" ht="15.75" x14ac:dyDescent="0.25"/>
    <row r="184" ht="15.75" x14ac:dyDescent="0.25"/>
    <row r="185" ht="15.75" x14ac:dyDescent="0.25"/>
    <row r="186" ht="15.75" x14ac:dyDescent="0.25"/>
    <row r="187" ht="15.75" x14ac:dyDescent="0.25"/>
    <row r="188" ht="15.75" x14ac:dyDescent="0.25"/>
    <row r="189" ht="15.75" x14ac:dyDescent="0.25"/>
    <row r="190" ht="15.75" x14ac:dyDescent="0.25"/>
    <row r="191" ht="15.75" x14ac:dyDescent="0.25"/>
    <row r="192" ht="15.75" x14ac:dyDescent="0.25"/>
    <row r="193" ht="15.75" x14ac:dyDescent="0.25"/>
    <row r="194" ht="15.75" x14ac:dyDescent="0.25"/>
    <row r="195" ht="15.75" x14ac:dyDescent="0.25"/>
    <row r="196" ht="15.75" x14ac:dyDescent="0.25"/>
    <row r="197" ht="15.75" x14ac:dyDescent="0.25"/>
    <row r="198" ht="15.75" x14ac:dyDescent="0.25"/>
    <row r="199" ht="15.75" x14ac:dyDescent="0.25"/>
    <row r="200" ht="15.75" x14ac:dyDescent="0.25"/>
    <row r="201" ht="15.75" x14ac:dyDescent="0.25"/>
    <row r="202" ht="15.75" x14ac:dyDescent="0.25"/>
    <row r="203" ht="15.75" x14ac:dyDescent="0.25"/>
    <row r="204" ht="15.75" x14ac:dyDescent="0.25"/>
    <row r="205" ht="15.75" x14ac:dyDescent="0.25"/>
    <row r="206" ht="15.75" x14ac:dyDescent="0.25"/>
    <row r="207" ht="15.75" x14ac:dyDescent="0.25"/>
    <row r="208" ht="15.75" x14ac:dyDescent="0.25"/>
    <row r="209" ht="15.75" x14ac:dyDescent="0.25"/>
    <row r="210" ht="15.75" x14ac:dyDescent="0.25"/>
    <row r="211" ht="15.75" x14ac:dyDescent="0.25"/>
    <row r="212" ht="15.75" x14ac:dyDescent="0.25"/>
    <row r="213" ht="15.75" x14ac:dyDescent="0.25"/>
    <row r="214" ht="15.75" x14ac:dyDescent="0.25"/>
    <row r="215" ht="15.75" x14ac:dyDescent="0.25"/>
    <row r="216" ht="15.75" x14ac:dyDescent="0.25"/>
    <row r="217" ht="15.75" x14ac:dyDescent="0.25"/>
    <row r="218" ht="15.75" x14ac:dyDescent="0.25"/>
    <row r="219" ht="15.75" x14ac:dyDescent="0.25"/>
    <row r="220" ht="15.75" x14ac:dyDescent="0.25"/>
    <row r="221" ht="15.75" x14ac:dyDescent="0.25"/>
    <row r="222" ht="15.75" x14ac:dyDescent="0.25"/>
    <row r="223" ht="15.75" x14ac:dyDescent="0.25"/>
    <row r="224" ht="15.75" x14ac:dyDescent="0.25"/>
    <row r="225" ht="15.75" x14ac:dyDescent="0.25"/>
    <row r="226" ht="15.75" x14ac:dyDescent="0.25"/>
    <row r="227" ht="15.75" x14ac:dyDescent="0.25"/>
    <row r="228" ht="15.75" x14ac:dyDescent="0.25"/>
    <row r="229" ht="15.75" x14ac:dyDescent="0.25"/>
    <row r="230" ht="15.75" x14ac:dyDescent="0.25"/>
    <row r="231" ht="15.75" x14ac:dyDescent="0.25"/>
    <row r="232" ht="15.75" x14ac:dyDescent="0.25"/>
    <row r="233" ht="15.75" x14ac:dyDescent="0.25"/>
    <row r="234" ht="15.75" x14ac:dyDescent="0.25"/>
    <row r="235" ht="15.75" x14ac:dyDescent="0.25"/>
    <row r="236" ht="15.75" x14ac:dyDescent="0.25"/>
    <row r="237" ht="15.75" x14ac:dyDescent="0.25"/>
    <row r="238" ht="15.75" x14ac:dyDescent="0.25"/>
    <row r="239" ht="15.75" x14ac:dyDescent="0.25"/>
    <row r="240" ht="15.75" x14ac:dyDescent="0.25"/>
    <row r="241" ht="15.75" x14ac:dyDescent="0.25"/>
    <row r="242" ht="15.75" x14ac:dyDescent="0.25"/>
    <row r="243" ht="15.75" x14ac:dyDescent="0.25"/>
    <row r="244" ht="15.75" x14ac:dyDescent="0.25"/>
    <row r="245" ht="15.75" x14ac:dyDescent="0.25"/>
    <row r="246" ht="15.75" x14ac:dyDescent="0.25"/>
    <row r="247" ht="15.75" x14ac:dyDescent="0.25"/>
    <row r="248" ht="15.75" x14ac:dyDescent="0.25"/>
    <row r="249" ht="15.75" x14ac:dyDescent="0.25"/>
    <row r="250" ht="15.75" x14ac:dyDescent="0.25"/>
    <row r="251" ht="15.75" x14ac:dyDescent="0.25"/>
    <row r="252" ht="15.75" x14ac:dyDescent="0.25"/>
    <row r="253" ht="15.75" x14ac:dyDescent="0.25"/>
    <row r="254" ht="15.75" x14ac:dyDescent="0.25"/>
    <row r="255" ht="15.75" x14ac:dyDescent="0.25"/>
    <row r="256" ht="15.75" x14ac:dyDescent="0.25"/>
    <row r="257" ht="15.75" x14ac:dyDescent="0.25"/>
    <row r="258" ht="15.75" x14ac:dyDescent="0.25"/>
    <row r="259" ht="15.75" x14ac:dyDescent="0.25"/>
    <row r="260" ht="15.75" x14ac:dyDescent="0.25"/>
    <row r="261" ht="15.75" x14ac:dyDescent="0.25"/>
    <row r="262" ht="15.75" x14ac:dyDescent="0.25"/>
    <row r="263" ht="15.75" x14ac:dyDescent="0.25"/>
    <row r="264" ht="15.75" x14ac:dyDescent="0.25"/>
    <row r="265" ht="15.75" x14ac:dyDescent="0.25"/>
    <row r="266" ht="15.75" x14ac:dyDescent="0.25"/>
    <row r="267" ht="15.75" x14ac:dyDescent="0.25"/>
    <row r="268" ht="15.75" x14ac:dyDescent="0.25"/>
    <row r="269" ht="15.75" x14ac:dyDescent="0.25"/>
    <row r="270" ht="15.75" x14ac:dyDescent="0.25"/>
    <row r="271" ht="15.75" x14ac:dyDescent="0.25"/>
    <row r="272" ht="15.75" x14ac:dyDescent="0.25"/>
    <row r="273" ht="15.75" x14ac:dyDescent="0.25"/>
    <row r="274" ht="15.75" x14ac:dyDescent="0.25"/>
    <row r="275" ht="15.75" x14ac:dyDescent="0.25"/>
    <row r="276" ht="15.75" x14ac:dyDescent="0.25"/>
    <row r="277" ht="15.75" x14ac:dyDescent="0.25"/>
    <row r="278" ht="15.75" x14ac:dyDescent="0.25"/>
    <row r="279" ht="15.75" x14ac:dyDescent="0.25"/>
    <row r="280" ht="15.75" x14ac:dyDescent="0.25"/>
    <row r="281" ht="15.75" x14ac:dyDescent="0.25"/>
    <row r="282" ht="15.75" x14ac:dyDescent="0.25"/>
    <row r="283" ht="15.75" x14ac:dyDescent="0.25"/>
    <row r="284" ht="15.75" x14ac:dyDescent="0.25"/>
    <row r="285" ht="15.75" x14ac:dyDescent="0.25"/>
    <row r="286" ht="15.75" x14ac:dyDescent="0.25"/>
    <row r="287" ht="15.75" x14ac:dyDescent="0.25"/>
    <row r="288" ht="15.75" x14ac:dyDescent="0.25"/>
    <row r="289" ht="15.75" x14ac:dyDescent="0.25"/>
    <row r="290" ht="15.75" x14ac:dyDescent="0.25"/>
    <row r="291" ht="15.75" x14ac:dyDescent="0.25"/>
    <row r="292" ht="15.75" x14ac:dyDescent="0.25"/>
    <row r="293" ht="15.75" x14ac:dyDescent="0.25"/>
    <row r="294" ht="15.75" x14ac:dyDescent="0.25"/>
    <row r="295" ht="15.75" x14ac:dyDescent="0.25"/>
    <row r="296" ht="15.75" x14ac:dyDescent="0.25"/>
    <row r="297" ht="15.75" x14ac:dyDescent="0.25"/>
    <row r="298" ht="15.75" x14ac:dyDescent="0.25"/>
    <row r="299" ht="15.75" x14ac:dyDescent="0.25"/>
    <row r="300" ht="15.75" x14ac:dyDescent="0.25"/>
    <row r="301" ht="15.75" x14ac:dyDescent="0.25"/>
    <row r="302" ht="15.75" x14ac:dyDescent="0.25"/>
    <row r="303" ht="15.75" x14ac:dyDescent="0.25"/>
    <row r="304" ht="15.75" x14ac:dyDescent="0.25"/>
    <row r="305" ht="15.75" x14ac:dyDescent="0.25"/>
    <row r="306" ht="15.75" x14ac:dyDescent="0.25"/>
    <row r="307" ht="15.75" x14ac:dyDescent="0.25"/>
    <row r="308" ht="15.75" x14ac:dyDescent="0.25"/>
    <row r="309" ht="15.75" x14ac:dyDescent="0.25"/>
    <row r="310" ht="15.75" x14ac:dyDescent="0.25"/>
    <row r="311" ht="15.75" x14ac:dyDescent="0.25"/>
    <row r="312" ht="15.75" x14ac:dyDescent="0.25"/>
    <row r="313" ht="15.75" x14ac:dyDescent="0.25"/>
    <row r="314" ht="15.75" x14ac:dyDescent="0.25"/>
    <row r="315" ht="15.75" x14ac:dyDescent="0.25"/>
    <row r="316" ht="15.75" x14ac:dyDescent="0.25"/>
    <row r="317" ht="15.75" x14ac:dyDescent="0.25"/>
    <row r="318" ht="15.75" x14ac:dyDescent="0.25"/>
    <row r="319" ht="15.75" x14ac:dyDescent="0.25"/>
    <row r="320" ht="15.75" x14ac:dyDescent="0.25"/>
    <row r="321" ht="15.75" x14ac:dyDescent="0.25"/>
    <row r="322" ht="15.75" x14ac:dyDescent="0.25"/>
    <row r="323" ht="15.75" x14ac:dyDescent="0.25"/>
    <row r="324" ht="15.75" x14ac:dyDescent="0.25"/>
    <row r="325" ht="15.75" x14ac:dyDescent="0.25"/>
    <row r="326" ht="15.75" x14ac:dyDescent="0.25"/>
    <row r="327" ht="15.75" x14ac:dyDescent="0.25"/>
    <row r="328" ht="15.75" x14ac:dyDescent="0.25"/>
    <row r="329" ht="15.75" x14ac:dyDescent="0.25"/>
    <row r="330" ht="15.75" x14ac:dyDescent="0.25"/>
    <row r="331" ht="15.75" x14ac:dyDescent="0.25"/>
    <row r="332" ht="15.75" x14ac:dyDescent="0.25"/>
    <row r="333" ht="15.75" x14ac:dyDescent="0.25"/>
    <row r="334" ht="15.75" x14ac:dyDescent="0.25"/>
    <row r="335" ht="15.75" x14ac:dyDescent="0.25"/>
    <row r="336" ht="15.75" x14ac:dyDescent="0.25"/>
    <row r="337" ht="15.75" x14ac:dyDescent="0.25"/>
    <row r="338" ht="15.75" x14ac:dyDescent="0.25"/>
    <row r="339" ht="15.75" x14ac:dyDescent="0.25"/>
    <row r="340" ht="15.75" x14ac:dyDescent="0.25"/>
    <row r="341" ht="15.75" x14ac:dyDescent="0.25"/>
    <row r="342" ht="15.75" x14ac:dyDescent="0.25"/>
    <row r="343" ht="15.75" x14ac:dyDescent="0.25"/>
    <row r="344" ht="15.75" x14ac:dyDescent="0.25"/>
    <row r="345" ht="15.75" x14ac:dyDescent="0.25"/>
    <row r="346" ht="15.75" x14ac:dyDescent="0.25"/>
    <row r="347" ht="15.75" x14ac:dyDescent="0.25"/>
    <row r="348" ht="15.75" x14ac:dyDescent="0.25"/>
    <row r="349" ht="15.75" x14ac:dyDescent="0.25"/>
    <row r="350" ht="15.75" x14ac:dyDescent="0.25"/>
    <row r="351" ht="15.75" x14ac:dyDescent="0.25"/>
    <row r="352" ht="15.75" x14ac:dyDescent="0.25"/>
    <row r="353" ht="15.75" x14ac:dyDescent="0.25"/>
    <row r="354" ht="15.75" x14ac:dyDescent="0.25"/>
    <row r="355" ht="15.75" x14ac:dyDescent="0.25"/>
    <row r="356" ht="15.75" x14ac:dyDescent="0.25"/>
    <row r="357" ht="15.75" x14ac:dyDescent="0.25"/>
    <row r="358" ht="15.75" x14ac:dyDescent="0.25"/>
    <row r="359" ht="15.75" x14ac:dyDescent="0.25"/>
    <row r="360" ht="15.75" x14ac:dyDescent="0.25"/>
    <row r="361" ht="15.75" x14ac:dyDescent="0.25"/>
    <row r="362" ht="15.75" x14ac:dyDescent="0.25"/>
    <row r="363" ht="15.75" x14ac:dyDescent="0.25"/>
    <row r="364" ht="15.75" x14ac:dyDescent="0.25"/>
    <row r="365" ht="15.75" x14ac:dyDescent="0.25"/>
    <row r="366" ht="15.75" x14ac:dyDescent="0.25"/>
    <row r="367" ht="15.75" x14ac:dyDescent="0.25"/>
    <row r="368" ht="15.75" x14ac:dyDescent="0.25"/>
    <row r="369" ht="15.75" x14ac:dyDescent="0.25"/>
    <row r="370" ht="15.75" x14ac:dyDescent="0.25"/>
    <row r="371" ht="15.75" x14ac:dyDescent="0.25"/>
    <row r="372" ht="15.75" x14ac:dyDescent="0.25"/>
    <row r="373" ht="15.75" x14ac:dyDescent="0.25"/>
    <row r="374" ht="15.75" x14ac:dyDescent="0.25"/>
    <row r="375" ht="15.75" x14ac:dyDescent="0.25"/>
    <row r="376" ht="15.75" x14ac:dyDescent="0.25"/>
    <row r="377" ht="15.75" x14ac:dyDescent="0.25"/>
    <row r="378" ht="15.75" x14ac:dyDescent="0.25"/>
    <row r="379" ht="15.75" x14ac:dyDescent="0.25"/>
    <row r="380" ht="15.75" x14ac:dyDescent="0.25"/>
    <row r="381" ht="15.75" x14ac:dyDescent="0.25"/>
    <row r="382" ht="15.75" x14ac:dyDescent="0.25"/>
    <row r="383" ht="15.75" x14ac:dyDescent="0.25"/>
    <row r="384" ht="15.75" x14ac:dyDescent="0.25"/>
    <row r="385" ht="15.75" x14ac:dyDescent="0.25"/>
    <row r="386" ht="15.75" x14ac:dyDescent="0.25"/>
    <row r="387" ht="15.75" x14ac:dyDescent="0.25"/>
    <row r="388" ht="15.75" x14ac:dyDescent="0.25"/>
    <row r="389" ht="15.75" x14ac:dyDescent="0.25"/>
    <row r="390" ht="15.75" x14ac:dyDescent="0.25"/>
    <row r="391" ht="15.75" x14ac:dyDescent="0.25"/>
    <row r="392" ht="15.75" x14ac:dyDescent="0.25"/>
    <row r="393" ht="15.75" x14ac:dyDescent="0.25"/>
    <row r="394" ht="15.75" x14ac:dyDescent="0.25"/>
    <row r="395" ht="15.75" x14ac:dyDescent="0.25"/>
    <row r="396" ht="15.75" x14ac:dyDescent="0.25"/>
    <row r="397" ht="15.75" x14ac:dyDescent="0.25"/>
    <row r="398" ht="15.75" x14ac:dyDescent="0.25"/>
    <row r="399" ht="15.75" x14ac:dyDescent="0.25"/>
    <row r="400" ht="15.75" x14ac:dyDescent="0.25"/>
    <row r="401" ht="15.75" x14ac:dyDescent="0.25"/>
    <row r="402" ht="15.75" x14ac:dyDescent="0.25"/>
    <row r="403" ht="15.75" x14ac:dyDescent="0.25"/>
    <row r="404" ht="15.75" x14ac:dyDescent="0.25"/>
    <row r="405" ht="15.75" x14ac:dyDescent="0.25"/>
    <row r="406" ht="15.75" x14ac:dyDescent="0.25"/>
    <row r="407" ht="15.75" x14ac:dyDescent="0.25"/>
    <row r="408" ht="15.75" x14ac:dyDescent="0.25"/>
    <row r="409" ht="15.75" x14ac:dyDescent="0.25"/>
    <row r="410" ht="15.75" x14ac:dyDescent="0.25"/>
    <row r="411" ht="15.75" x14ac:dyDescent="0.25"/>
    <row r="412" ht="15.75" x14ac:dyDescent="0.25"/>
    <row r="413" ht="15.75" x14ac:dyDescent="0.25"/>
    <row r="414" ht="15.75" x14ac:dyDescent="0.25"/>
    <row r="415" ht="15.75" x14ac:dyDescent="0.25"/>
    <row r="416" ht="15.75" x14ac:dyDescent="0.25"/>
    <row r="417" ht="15.75" x14ac:dyDescent="0.25"/>
    <row r="418" ht="15.75" x14ac:dyDescent="0.25"/>
    <row r="419" ht="15.75" x14ac:dyDescent="0.25"/>
    <row r="420" ht="15.75" x14ac:dyDescent="0.25"/>
    <row r="421" ht="15.75" x14ac:dyDescent="0.25"/>
    <row r="422" ht="15.75" x14ac:dyDescent="0.25"/>
    <row r="423" ht="15.75" x14ac:dyDescent="0.25"/>
    <row r="424" ht="15.75" x14ac:dyDescent="0.25"/>
    <row r="425" ht="15.75" x14ac:dyDescent="0.25"/>
    <row r="426" ht="15.75" x14ac:dyDescent="0.25"/>
    <row r="427" ht="15.75" x14ac:dyDescent="0.25"/>
    <row r="428" ht="15.75" x14ac:dyDescent="0.25"/>
    <row r="429" ht="15.75" x14ac:dyDescent="0.25"/>
    <row r="430" ht="15.75" x14ac:dyDescent="0.25"/>
    <row r="431" ht="15.75" x14ac:dyDescent="0.25"/>
    <row r="432" ht="15.75" x14ac:dyDescent="0.25"/>
    <row r="433" ht="15.75" x14ac:dyDescent="0.25"/>
    <row r="434" ht="15.75" x14ac:dyDescent="0.25"/>
    <row r="435" ht="15.75" x14ac:dyDescent="0.25"/>
    <row r="436" ht="15.75" x14ac:dyDescent="0.25"/>
    <row r="437" ht="15.75" x14ac:dyDescent="0.25"/>
    <row r="438" ht="15.75" x14ac:dyDescent="0.25"/>
    <row r="439" ht="15.75" x14ac:dyDescent="0.25"/>
    <row r="440" ht="15.75" x14ac:dyDescent="0.25"/>
    <row r="441" ht="15.75" x14ac:dyDescent="0.25"/>
    <row r="442" ht="15.75" x14ac:dyDescent="0.25"/>
    <row r="443" ht="15.75" x14ac:dyDescent="0.25"/>
    <row r="444" ht="15.75" x14ac:dyDescent="0.25"/>
    <row r="445" ht="15.75" x14ac:dyDescent="0.25"/>
    <row r="446" ht="15.75" x14ac:dyDescent="0.25"/>
    <row r="447" ht="15.75" x14ac:dyDescent="0.25"/>
    <row r="448" ht="15.75" x14ac:dyDescent="0.25"/>
    <row r="449" ht="15.75" x14ac:dyDescent="0.25"/>
    <row r="450" ht="15.75" x14ac:dyDescent="0.25"/>
    <row r="451" ht="15.75" x14ac:dyDescent="0.25"/>
    <row r="452" ht="15.75" x14ac:dyDescent="0.25"/>
    <row r="453" ht="15.75" x14ac:dyDescent="0.25"/>
    <row r="454" ht="15.75" x14ac:dyDescent="0.25"/>
    <row r="455" ht="15.75" x14ac:dyDescent="0.25"/>
    <row r="456" ht="15.75" x14ac:dyDescent="0.25"/>
    <row r="457" ht="15.75" x14ac:dyDescent="0.25"/>
    <row r="458" ht="15.75" x14ac:dyDescent="0.25"/>
    <row r="459" ht="15.75" x14ac:dyDescent="0.25"/>
    <row r="460" ht="15.75" x14ac:dyDescent="0.25"/>
    <row r="461" ht="15.75" x14ac:dyDescent="0.25"/>
    <row r="462" ht="15.75" x14ac:dyDescent="0.25"/>
    <row r="463" ht="15.75" x14ac:dyDescent="0.25"/>
    <row r="464" ht="15.75" x14ac:dyDescent="0.25"/>
    <row r="465" ht="15.75" x14ac:dyDescent="0.25"/>
    <row r="466" ht="15.75" x14ac:dyDescent="0.25"/>
    <row r="467" ht="15.75" x14ac:dyDescent="0.25"/>
    <row r="468" ht="15.75" x14ac:dyDescent="0.25"/>
    <row r="469" ht="15.75" x14ac:dyDescent="0.25"/>
    <row r="470" ht="15.75" x14ac:dyDescent="0.25"/>
    <row r="471" ht="15.75" x14ac:dyDescent="0.25"/>
    <row r="472" ht="15.75" x14ac:dyDescent="0.25"/>
    <row r="473" ht="15.75" x14ac:dyDescent="0.25"/>
    <row r="474" ht="15.75" x14ac:dyDescent="0.25"/>
    <row r="475" ht="15.75" x14ac:dyDescent="0.25"/>
    <row r="476" ht="15.75" x14ac:dyDescent="0.25"/>
    <row r="477" ht="15.75" x14ac:dyDescent="0.25"/>
    <row r="478" ht="15.75" x14ac:dyDescent="0.25"/>
    <row r="479" ht="15.75" x14ac:dyDescent="0.25"/>
    <row r="480" ht="15.75" x14ac:dyDescent="0.25"/>
    <row r="481" ht="15.75" x14ac:dyDescent="0.25"/>
    <row r="482" ht="15.75" x14ac:dyDescent="0.25"/>
    <row r="483" ht="15.75" x14ac:dyDescent="0.25"/>
    <row r="484" ht="15.75" x14ac:dyDescent="0.25"/>
    <row r="485" ht="15.75" x14ac:dyDescent="0.25"/>
    <row r="486" ht="15.75" x14ac:dyDescent="0.25"/>
    <row r="487" ht="15.75" x14ac:dyDescent="0.25"/>
    <row r="488" ht="15.75" x14ac:dyDescent="0.25"/>
    <row r="489" ht="15.75" x14ac:dyDescent="0.25"/>
    <row r="490" ht="15.75" x14ac:dyDescent="0.25"/>
    <row r="491" ht="15.75" x14ac:dyDescent="0.25"/>
    <row r="492" ht="15.75" x14ac:dyDescent="0.25"/>
    <row r="493" ht="15.75" x14ac:dyDescent="0.25"/>
    <row r="494" ht="15.75" x14ac:dyDescent="0.25"/>
    <row r="495" ht="15.75" x14ac:dyDescent="0.25"/>
    <row r="496" ht="15.75" x14ac:dyDescent="0.25"/>
    <row r="497" ht="15.75" x14ac:dyDescent="0.25"/>
    <row r="498" ht="15.75" x14ac:dyDescent="0.25"/>
    <row r="499" ht="15.75" x14ac:dyDescent="0.25"/>
    <row r="500" ht="15.75" x14ac:dyDescent="0.25"/>
    <row r="501" ht="15.75" x14ac:dyDescent="0.25"/>
    <row r="502" ht="15.75" x14ac:dyDescent="0.25"/>
    <row r="503" ht="15.75" x14ac:dyDescent="0.25"/>
    <row r="504" ht="15.75" x14ac:dyDescent="0.25"/>
    <row r="505" ht="15.75" x14ac:dyDescent="0.25"/>
    <row r="506" ht="15.75" x14ac:dyDescent="0.25"/>
    <row r="507" ht="15.75" x14ac:dyDescent="0.25"/>
    <row r="508" ht="15.75" x14ac:dyDescent="0.25"/>
    <row r="509" ht="15.75" x14ac:dyDescent="0.25"/>
    <row r="510" ht="15.75" x14ac:dyDescent="0.25"/>
    <row r="511" ht="15.75" x14ac:dyDescent="0.25"/>
    <row r="512" ht="15.75" x14ac:dyDescent="0.25"/>
    <row r="513" ht="15.75" x14ac:dyDescent="0.25"/>
    <row r="514" ht="15.75" x14ac:dyDescent="0.25"/>
    <row r="515" ht="15.75" x14ac:dyDescent="0.25"/>
    <row r="516" ht="15.75" x14ac:dyDescent="0.25"/>
    <row r="517" ht="15.75" x14ac:dyDescent="0.25"/>
    <row r="518" ht="15.75" x14ac:dyDescent="0.25"/>
    <row r="519" ht="15.75" x14ac:dyDescent="0.25"/>
    <row r="520" ht="15.75" x14ac:dyDescent="0.25"/>
    <row r="521" ht="15.75" x14ac:dyDescent="0.25"/>
    <row r="522" ht="15.75" x14ac:dyDescent="0.25"/>
    <row r="523" ht="15.75" x14ac:dyDescent="0.25"/>
    <row r="524" ht="15.75" x14ac:dyDescent="0.25"/>
    <row r="525" ht="15.75" x14ac:dyDescent="0.25"/>
    <row r="526" ht="15.75" x14ac:dyDescent="0.25"/>
    <row r="527" ht="15.75" x14ac:dyDescent="0.25"/>
    <row r="528" ht="15.75" x14ac:dyDescent="0.25"/>
    <row r="529" ht="15.75" x14ac:dyDescent="0.25"/>
    <row r="530" ht="15.75" x14ac:dyDescent="0.25"/>
    <row r="531" ht="15.75" x14ac:dyDescent="0.25"/>
    <row r="532" ht="15.75" x14ac:dyDescent="0.25"/>
    <row r="533" ht="15.75" x14ac:dyDescent="0.25"/>
    <row r="534" ht="15.75" x14ac:dyDescent="0.25"/>
    <row r="535" ht="15.75" x14ac:dyDescent="0.25"/>
    <row r="536" ht="15.75" x14ac:dyDescent="0.25"/>
    <row r="537" ht="15.75" x14ac:dyDescent="0.25"/>
    <row r="538" ht="15.75" x14ac:dyDescent="0.25"/>
    <row r="539" ht="15.75" x14ac:dyDescent="0.25"/>
    <row r="540" ht="15.75" x14ac:dyDescent="0.25"/>
    <row r="541" ht="15.75" x14ac:dyDescent="0.25"/>
    <row r="542" ht="15.75" x14ac:dyDescent="0.25"/>
    <row r="543" ht="15.75" x14ac:dyDescent="0.25"/>
    <row r="544" ht="15.75" x14ac:dyDescent="0.25"/>
    <row r="545" ht="15.75" x14ac:dyDescent="0.25"/>
    <row r="546" ht="15.75" x14ac:dyDescent="0.25"/>
    <row r="547" ht="15.75" x14ac:dyDescent="0.25"/>
    <row r="548" ht="15.75" x14ac:dyDescent="0.25"/>
    <row r="549" ht="15.75" x14ac:dyDescent="0.25"/>
    <row r="550" ht="15.75" x14ac:dyDescent="0.25"/>
    <row r="551" ht="15.75" x14ac:dyDescent="0.25"/>
    <row r="552" ht="15.75" x14ac:dyDescent="0.25"/>
    <row r="553" ht="15.75" x14ac:dyDescent="0.25"/>
    <row r="554" ht="15.75" x14ac:dyDescent="0.25"/>
    <row r="555" ht="15.75" x14ac:dyDescent="0.25"/>
    <row r="556" ht="15.75" x14ac:dyDescent="0.25"/>
    <row r="557" ht="15.75" x14ac:dyDescent="0.25"/>
    <row r="558" ht="15.75" x14ac:dyDescent="0.25"/>
    <row r="559" ht="15.75" x14ac:dyDescent="0.25"/>
    <row r="560" ht="15.75" x14ac:dyDescent="0.25"/>
    <row r="561" ht="15.75" x14ac:dyDescent="0.25"/>
    <row r="562" ht="15.75" x14ac:dyDescent="0.25"/>
    <row r="563" ht="15.75" x14ac:dyDescent="0.25"/>
    <row r="564" ht="15.75" x14ac:dyDescent="0.25"/>
    <row r="565" ht="15.75" x14ac:dyDescent="0.25"/>
    <row r="566" ht="15.75" x14ac:dyDescent="0.25"/>
    <row r="567" ht="15.75" x14ac:dyDescent="0.25"/>
    <row r="568" ht="15.75" x14ac:dyDescent="0.25"/>
    <row r="569" ht="15.75" x14ac:dyDescent="0.25"/>
    <row r="570" ht="15.75" x14ac:dyDescent="0.25"/>
    <row r="571" ht="15.75" x14ac:dyDescent="0.25"/>
    <row r="572" ht="15.75" x14ac:dyDescent="0.25"/>
    <row r="573" ht="15.75" x14ac:dyDescent="0.25"/>
    <row r="574" ht="15.75" x14ac:dyDescent="0.25"/>
    <row r="575" ht="15.75" x14ac:dyDescent="0.25"/>
    <row r="576" ht="15.75" x14ac:dyDescent="0.25"/>
    <row r="577" ht="15.75" x14ac:dyDescent="0.25"/>
    <row r="578" ht="15.75" x14ac:dyDescent="0.25"/>
    <row r="579" ht="15.75" x14ac:dyDescent="0.25"/>
    <row r="580" ht="15.75" x14ac:dyDescent="0.25"/>
    <row r="581" ht="15.75" x14ac:dyDescent="0.25"/>
    <row r="582" ht="15.75" x14ac:dyDescent="0.25"/>
    <row r="583" ht="15.75" x14ac:dyDescent="0.25"/>
    <row r="584" ht="15.75" x14ac:dyDescent="0.25"/>
    <row r="585" ht="15.75" x14ac:dyDescent="0.25"/>
    <row r="586" ht="15.75" x14ac:dyDescent="0.25"/>
    <row r="587" ht="15.75" x14ac:dyDescent="0.25"/>
    <row r="588" ht="15.75" x14ac:dyDescent="0.25"/>
    <row r="589" ht="15.75" x14ac:dyDescent="0.25"/>
    <row r="590" ht="15.75" x14ac:dyDescent="0.25"/>
    <row r="591" ht="15.75" x14ac:dyDescent="0.25"/>
    <row r="592" ht="15.75" x14ac:dyDescent="0.25"/>
    <row r="593" ht="15.75" x14ac:dyDescent="0.25"/>
    <row r="594" ht="15.75" x14ac:dyDescent="0.25"/>
    <row r="595" ht="15.75" x14ac:dyDescent="0.25"/>
    <row r="596" ht="15.75" x14ac:dyDescent="0.25"/>
    <row r="597" ht="15.75" x14ac:dyDescent="0.25"/>
    <row r="598" ht="15.75" x14ac:dyDescent="0.25"/>
    <row r="599" ht="15.75" x14ac:dyDescent="0.25"/>
    <row r="600" ht="15.75" x14ac:dyDescent="0.25"/>
    <row r="601" ht="15.75" x14ac:dyDescent="0.25"/>
    <row r="602" ht="15.75" x14ac:dyDescent="0.25"/>
    <row r="603" ht="15.75" x14ac:dyDescent="0.25"/>
    <row r="604" ht="15.75" x14ac:dyDescent="0.25"/>
    <row r="605" ht="15.75" x14ac:dyDescent="0.25"/>
    <row r="606" ht="15.75" x14ac:dyDescent="0.25"/>
    <row r="607" ht="15.75" x14ac:dyDescent="0.25"/>
    <row r="608" ht="15.75" x14ac:dyDescent="0.25"/>
    <row r="609" ht="15.75" x14ac:dyDescent="0.25"/>
    <row r="610" ht="15.75" x14ac:dyDescent="0.25"/>
    <row r="611" ht="15.75" x14ac:dyDescent="0.25"/>
    <row r="612" ht="15.75" x14ac:dyDescent="0.25"/>
    <row r="613" ht="15.75" x14ac:dyDescent="0.25"/>
    <row r="614" ht="15.75" x14ac:dyDescent="0.25"/>
    <row r="615" ht="15.75" x14ac:dyDescent="0.25"/>
    <row r="616" ht="15.75" x14ac:dyDescent="0.25"/>
    <row r="617" ht="15.75" x14ac:dyDescent="0.25"/>
    <row r="618" ht="15.75" x14ac:dyDescent="0.25"/>
    <row r="619" ht="15.75" x14ac:dyDescent="0.25"/>
    <row r="620" ht="15.75" x14ac:dyDescent="0.25"/>
    <row r="621" ht="15.75" x14ac:dyDescent="0.25"/>
    <row r="622" ht="15.75" x14ac:dyDescent="0.25"/>
    <row r="623" ht="15.75" x14ac:dyDescent="0.25"/>
    <row r="624" ht="15.75" x14ac:dyDescent="0.25"/>
    <row r="625" ht="15.75" x14ac:dyDescent="0.25"/>
    <row r="626" ht="15.75" x14ac:dyDescent="0.25"/>
    <row r="627" ht="15.75" x14ac:dyDescent="0.25"/>
    <row r="628" ht="15.75" x14ac:dyDescent="0.25"/>
    <row r="629" ht="15.75" x14ac:dyDescent="0.25"/>
    <row r="630" ht="15.75" x14ac:dyDescent="0.25"/>
    <row r="631" ht="15.75" x14ac:dyDescent="0.25"/>
    <row r="632" ht="15.75" x14ac:dyDescent="0.25"/>
    <row r="633" ht="15.75" x14ac:dyDescent="0.25"/>
    <row r="634" ht="15.75" x14ac:dyDescent="0.25"/>
    <row r="635" ht="15.75" x14ac:dyDescent="0.25"/>
    <row r="636" ht="15.75" x14ac:dyDescent="0.25"/>
    <row r="637" ht="15.75" x14ac:dyDescent="0.25"/>
    <row r="638" ht="15.75" x14ac:dyDescent="0.25"/>
    <row r="639" ht="15.75" x14ac:dyDescent="0.25"/>
    <row r="640" ht="15.75" x14ac:dyDescent="0.25"/>
    <row r="641" ht="15.75" x14ac:dyDescent="0.25"/>
    <row r="642" ht="15.75" x14ac:dyDescent="0.25"/>
    <row r="643" ht="15.75" x14ac:dyDescent="0.25"/>
    <row r="644" ht="15.75" x14ac:dyDescent="0.25"/>
    <row r="645" ht="15.75" x14ac:dyDescent="0.25"/>
    <row r="646" ht="15.75" x14ac:dyDescent="0.25"/>
    <row r="647" ht="15.75" x14ac:dyDescent="0.25"/>
    <row r="648" ht="15.75" x14ac:dyDescent="0.25"/>
    <row r="649" ht="15.75" x14ac:dyDescent="0.25"/>
    <row r="650" ht="15.75" x14ac:dyDescent="0.25"/>
    <row r="651" ht="15.75" x14ac:dyDescent="0.25"/>
    <row r="652" ht="15.75" x14ac:dyDescent="0.25"/>
    <row r="653" ht="15.75" x14ac:dyDescent="0.25"/>
    <row r="654" ht="15.75" x14ac:dyDescent="0.25"/>
    <row r="655" ht="15.75" x14ac:dyDescent="0.25"/>
    <row r="656" ht="15.75" x14ac:dyDescent="0.25"/>
    <row r="657" ht="15.75" x14ac:dyDescent="0.25"/>
    <row r="658" ht="15.75" x14ac:dyDescent="0.25"/>
    <row r="659" ht="15.75" x14ac:dyDescent="0.25"/>
    <row r="660" ht="15.75" x14ac:dyDescent="0.25"/>
    <row r="661" ht="15.75" x14ac:dyDescent="0.25"/>
    <row r="662" ht="15.75" x14ac:dyDescent="0.25"/>
    <row r="663" ht="15.75" x14ac:dyDescent="0.25"/>
    <row r="664" ht="15.75" x14ac:dyDescent="0.25"/>
    <row r="665" ht="15.75" x14ac:dyDescent="0.25"/>
    <row r="666" ht="15.75" x14ac:dyDescent="0.25"/>
    <row r="667" ht="15.75" x14ac:dyDescent="0.25"/>
    <row r="668" ht="15.75" x14ac:dyDescent="0.25"/>
    <row r="669" ht="15.75" x14ac:dyDescent="0.25"/>
    <row r="670" ht="15.75" x14ac:dyDescent="0.25"/>
    <row r="671" ht="15.75" x14ac:dyDescent="0.25"/>
    <row r="672" ht="15.75" x14ac:dyDescent="0.25"/>
    <row r="673" ht="15.75" x14ac:dyDescent="0.25"/>
    <row r="674" ht="15.75" x14ac:dyDescent="0.25"/>
    <row r="675" ht="15.75" x14ac:dyDescent="0.25"/>
    <row r="676" ht="15.75" x14ac:dyDescent="0.25"/>
    <row r="677" ht="15.75" x14ac:dyDescent="0.25"/>
    <row r="678" ht="15.75" x14ac:dyDescent="0.25"/>
    <row r="679" ht="15.75" x14ac:dyDescent="0.25"/>
    <row r="680" ht="15.75" x14ac:dyDescent="0.25"/>
    <row r="681" ht="15.75" x14ac:dyDescent="0.25"/>
    <row r="682" ht="15.75" x14ac:dyDescent="0.25"/>
    <row r="683" ht="15.75" x14ac:dyDescent="0.25"/>
    <row r="684" ht="15.75" x14ac:dyDescent="0.25"/>
    <row r="685" ht="15.75" x14ac:dyDescent="0.25"/>
    <row r="686" ht="15.75" x14ac:dyDescent="0.25"/>
    <row r="687" ht="15.75" x14ac:dyDescent="0.25"/>
    <row r="688" ht="15.75" x14ac:dyDescent="0.25"/>
    <row r="689" ht="15.75" x14ac:dyDescent="0.25"/>
    <row r="690" ht="15.75" x14ac:dyDescent="0.25"/>
    <row r="691" ht="15.75" x14ac:dyDescent="0.25"/>
    <row r="692" ht="15.75" x14ac:dyDescent="0.25"/>
    <row r="693" ht="15.75" x14ac:dyDescent="0.25"/>
    <row r="694" ht="15.75" x14ac:dyDescent="0.25"/>
    <row r="695" ht="15.75" x14ac:dyDescent="0.25"/>
    <row r="696" ht="15.75" x14ac:dyDescent="0.25"/>
    <row r="697" ht="15.75" x14ac:dyDescent="0.25"/>
    <row r="698" ht="15.75" x14ac:dyDescent="0.25"/>
    <row r="699" ht="15.75" x14ac:dyDescent="0.25"/>
    <row r="700" ht="15.75" x14ac:dyDescent="0.25"/>
    <row r="701" ht="15.75" x14ac:dyDescent="0.25"/>
    <row r="702" ht="15.75" x14ac:dyDescent="0.25"/>
    <row r="703" ht="15.75" x14ac:dyDescent="0.25"/>
    <row r="704" ht="15.75" x14ac:dyDescent="0.25"/>
    <row r="705" ht="15.75" x14ac:dyDescent="0.25"/>
    <row r="706" ht="15.75" x14ac:dyDescent="0.25"/>
    <row r="707" ht="15.75" x14ac:dyDescent="0.25"/>
    <row r="708" ht="15.75" x14ac:dyDescent="0.25"/>
    <row r="709" ht="15.75" x14ac:dyDescent="0.25"/>
    <row r="710" ht="15.75" x14ac:dyDescent="0.25"/>
    <row r="711" ht="15.75" x14ac:dyDescent="0.25"/>
    <row r="712" ht="15.75" x14ac:dyDescent="0.25"/>
    <row r="713" ht="15.75" x14ac:dyDescent="0.25"/>
    <row r="714" ht="15.75" x14ac:dyDescent="0.25"/>
    <row r="715" ht="15.75" x14ac:dyDescent="0.25"/>
    <row r="716" ht="15.75" x14ac:dyDescent="0.25"/>
    <row r="717" ht="15.75" x14ac:dyDescent="0.25"/>
    <row r="718" ht="15.75" x14ac:dyDescent="0.25"/>
    <row r="719" ht="15.75" x14ac:dyDescent="0.25"/>
    <row r="720" ht="15.75" x14ac:dyDescent="0.25"/>
    <row r="721" ht="15.75" x14ac:dyDescent="0.25"/>
    <row r="722" ht="15.75" x14ac:dyDescent="0.25"/>
    <row r="723" ht="15.75" x14ac:dyDescent="0.25"/>
    <row r="724" ht="15.75" x14ac:dyDescent="0.25"/>
    <row r="725" ht="15.75" x14ac:dyDescent="0.25"/>
    <row r="726" ht="15.75" x14ac:dyDescent="0.25"/>
    <row r="727" ht="15.75" x14ac:dyDescent="0.25"/>
    <row r="728" ht="15.75" x14ac:dyDescent="0.25"/>
    <row r="729" ht="15.75" x14ac:dyDescent="0.25"/>
    <row r="730" ht="15.75" x14ac:dyDescent="0.25"/>
    <row r="731" ht="15.75" x14ac:dyDescent="0.25"/>
    <row r="732" ht="15.75" x14ac:dyDescent="0.25"/>
    <row r="733" ht="15.75" x14ac:dyDescent="0.25"/>
    <row r="734" ht="15.75" x14ac:dyDescent="0.25"/>
    <row r="735" ht="15.75" x14ac:dyDescent="0.25"/>
    <row r="736" ht="15.75" x14ac:dyDescent="0.25"/>
    <row r="737" ht="15.75" x14ac:dyDescent="0.25"/>
    <row r="738" ht="15.75" x14ac:dyDescent="0.25"/>
    <row r="739" ht="15.75" x14ac:dyDescent="0.25"/>
    <row r="740" ht="15.75" x14ac:dyDescent="0.25"/>
    <row r="741" ht="15.75" x14ac:dyDescent="0.25"/>
    <row r="742" ht="15.75" x14ac:dyDescent="0.25"/>
    <row r="743" ht="15.75" x14ac:dyDescent="0.25"/>
    <row r="744" ht="15.75" x14ac:dyDescent="0.25"/>
    <row r="745" ht="15.75" x14ac:dyDescent="0.25"/>
    <row r="746" ht="15.75" x14ac:dyDescent="0.25"/>
    <row r="747" ht="15.75" x14ac:dyDescent="0.25"/>
    <row r="748" ht="15.75" x14ac:dyDescent="0.25"/>
    <row r="749" ht="15.75" x14ac:dyDescent="0.25"/>
    <row r="750" ht="15.75" x14ac:dyDescent="0.25"/>
    <row r="751" ht="15.75" x14ac:dyDescent="0.25"/>
    <row r="752" ht="15.75" x14ac:dyDescent="0.25"/>
    <row r="753" ht="15.75" x14ac:dyDescent="0.25"/>
    <row r="754" ht="15.75" x14ac:dyDescent="0.25"/>
    <row r="755" ht="15.75" x14ac:dyDescent="0.25"/>
    <row r="756" ht="15.75" x14ac:dyDescent="0.25"/>
    <row r="757" ht="15.75" x14ac:dyDescent="0.25"/>
    <row r="758" ht="15.75" x14ac:dyDescent="0.25"/>
    <row r="759" ht="15.75" x14ac:dyDescent="0.25"/>
    <row r="760" ht="15.75" x14ac:dyDescent="0.25"/>
    <row r="761" ht="15.75" x14ac:dyDescent="0.25"/>
    <row r="762" ht="15.75" x14ac:dyDescent="0.25"/>
    <row r="763" ht="15.75" x14ac:dyDescent="0.25"/>
    <row r="764" ht="15.75" x14ac:dyDescent="0.25"/>
    <row r="765" ht="15.75" x14ac:dyDescent="0.25"/>
    <row r="766" ht="15.75" x14ac:dyDescent="0.25"/>
    <row r="767" ht="15.75" x14ac:dyDescent="0.25"/>
    <row r="768" ht="15.75" x14ac:dyDescent="0.25"/>
    <row r="769" ht="15.75" x14ac:dyDescent="0.25"/>
    <row r="770" ht="15.75" x14ac:dyDescent="0.25"/>
    <row r="771" ht="15.75" x14ac:dyDescent="0.25"/>
    <row r="772" ht="15.75" x14ac:dyDescent="0.25"/>
    <row r="773" ht="15.75" x14ac:dyDescent="0.25"/>
    <row r="774" ht="15.75" x14ac:dyDescent="0.25"/>
    <row r="775" ht="15.75" x14ac:dyDescent="0.25"/>
    <row r="776" ht="15.75" x14ac:dyDescent="0.25"/>
    <row r="777" ht="15.75" x14ac:dyDescent="0.25"/>
    <row r="778" ht="15.75" x14ac:dyDescent="0.25"/>
    <row r="779" ht="15.75" x14ac:dyDescent="0.25"/>
    <row r="780" ht="15.75" x14ac:dyDescent="0.25"/>
    <row r="781" ht="15.75" x14ac:dyDescent="0.25"/>
    <row r="782" ht="15.75" x14ac:dyDescent="0.25"/>
    <row r="783" ht="15.75" x14ac:dyDescent="0.25"/>
    <row r="784" ht="15.75" x14ac:dyDescent="0.25"/>
    <row r="785" ht="15.75" x14ac:dyDescent="0.25"/>
    <row r="786" ht="15.75" x14ac:dyDescent="0.25"/>
    <row r="787" ht="15.75" x14ac:dyDescent="0.25"/>
    <row r="788" ht="15.75" x14ac:dyDescent="0.25"/>
    <row r="789" ht="15.75" x14ac:dyDescent="0.25"/>
    <row r="790" ht="15.75" x14ac:dyDescent="0.25"/>
    <row r="791" ht="15.75" x14ac:dyDescent="0.25"/>
    <row r="792" ht="15.75" x14ac:dyDescent="0.25"/>
    <row r="793" ht="15.75" x14ac:dyDescent="0.25"/>
    <row r="794" ht="15.75" x14ac:dyDescent="0.25"/>
    <row r="795" ht="15.75" x14ac:dyDescent="0.25"/>
    <row r="796" ht="15.75" x14ac:dyDescent="0.25"/>
    <row r="797" ht="15.75" x14ac:dyDescent="0.25"/>
    <row r="798" ht="15.75" x14ac:dyDescent="0.25"/>
    <row r="799" ht="15.75" x14ac:dyDescent="0.25"/>
    <row r="800" ht="15.75" x14ac:dyDescent="0.25"/>
    <row r="801" ht="15.75" x14ac:dyDescent="0.25"/>
    <row r="802" ht="15.75" x14ac:dyDescent="0.25"/>
    <row r="803" ht="15.75" x14ac:dyDescent="0.25"/>
    <row r="804" ht="15.75" x14ac:dyDescent="0.25"/>
    <row r="805" ht="15.75" x14ac:dyDescent="0.25"/>
    <row r="806" ht="15.75" x14ac:dyDescent="0.25"/>
    <row r="807" ht="15.75" x14ac:dyDescent="0.25"/>
    <row r="808" ht="15.75" x14ac:dyDescent="0.25"/>
    <row r="809" ht="15.75" x14ac:dyDescent="0.25"/>
    <row r="810" ht="15.75" x14ac:dyDescent="0.25"/>
    <row r="811" ht="15.75" x14ac:dyDescent="0.25"/>
    <row r="812" ht="15.75" x14ac:dyDescent="0.25"/>
    <row r="813" ht="15.75" x14ac:dyDescent="0.25"/>
    <row r="814" ht="15.75" x14ac:dyDescent="0.25"/>
    <row r="815" ht="15.75" x14ac:dyDescent="0.25"/>
    <row r="816" ht="15.75" x14ac:dyDescent="0.25"/>
    <row r="817" ht="15.75" x14ac:dyDescent="0.25"/>
    <row r="818" ht="15.75" x14ac:dyDescent="0.25"/>
    <row r="819" ht="15.75" x14ac:dyDescent="0.25"/>
    <row r="820" ht="15.75" x14ac:dyDescent="0.25"/>
    <row r="821" ht="15.75" x14ac:dyDescent="0.25"/>
    <row r="822" ht="15.75" x14ac:dyDescent="0.25"/>
    <row r="823" ht="15.75" x14ac:dyDescent="0.25"/>
    <row r="824" ht="15.75" x14ac:dyDescent="0.25"/>
    <row r="825" ht="15.75" x14ac:dyDescent="0.25"/>
    <row r="826" ht="15.75" x14ac:dyDescent="0.25"/>
    <row r="827" ht="15.75" x14ac:dyDescent="0.25"/>
    <row r="828" ht="15.75" x14ac:dyDescent="0.25"/>
    <row r="829" ht="15.75" x14ac:dyDescent="0.25"/>
    <row r="830" ht="15.75" x14ac:dyDescent="0.25"/>
    <row r="831" ht="15.75" x14ac:dyDescent="0.25"/>
    <row r="832" ht="15.75" x14ac:dyDescent="0.25"/>
    <row r="833" ht="15.75" x14ac:dyDescent="0.25"/>
    <row r="834" ht="15.75" x14ac:dyDescent="0.25"/>
    <row r="835" ht="15.75" x14ac:dyDescent="0.25"/>
    <row r="836" ht="15.75" x14ac:dyDescent="0.25"/>
    <row r="837" ht="15.75" x14ac:dyDescent="0.25"/>
    <row r="838" ht="15.75" x14ac:dyDescent="0.25"/>
    <row r="839" ht="15.75" x14ac:dyDescent="0.25"/>
    <row r="840" ht="15.75" x14ac:dyDescent="0.25"/>
    <row r="841" ht="15.75" x14ac:dyDescent="0.25"/>
    <row r="842" ht="15.75" x14ac:dyDescent="0.25"/>
    <row r="843" ht="15.75" x14ac:dyDescent="0.25"/>
    <row r="844" ht="15.75" x14ac:dyDescent="0.25"/>
    <row r="845" ht="15.75" x14ac:dyDescent="0.25"/>
    <row r="846" ht="15.75" x14ac:dyDescent="0.25"/>
    <row r="847" ht="15.75" x14ac:dyDescent="0.25"/>
    <row r="848" ht="15.75" x14ac:dyDescent="0.25"/>
    <row r="849" ht="15.75" x14ac:dyDescent="0.25"/>
    <row r="850" ht="15.75" x14ac:dyDescent="0.25"/>
    <row r="851" ht="15.75" x14ac:dyDescent="0.25"/>
    <row r="852" ht="15.75" x14ac:dyDescent="0.25"/>
    <row r="853" ht="15.75" x14ac:dyDescent="0.25"/>
    <row r="854" ht="15.75" x14ac:dyDescent="0.25"/>
    <row r="855" ht="15.75" x14ac:dyDescent="0.25"/>
    <row r="856" ht="15.75" x14ac:dyDescent="0.25"/>
    <row r="857" ht="15.75" x14ac:dyDescent="0.25"/>
    <row r="858" ht="15.75" x14ac:dyDescent="0.25"/>
    <row r="859" ht="15.75" x14ac:dyDescent="0.25"/>
    <row r="860" ht="15.75" x14ac:dyDescent="0.25"/>
    <row r="861" ht="15.75" x14ac:dyDescent="0.25"/>
    <row r="862" ht="15.75" x14ac:dyDescent="0.25"/>
    <row r="863" ht="15.75" x14ac:dyDescent="0.25"/>
    <row r="864" ht="15.75" x14ac:dyDescent="0.25"/>
    <row r="865" ht="15.75" x14ac:dyDescent="0.25"/>
    <row r="866" ht="15.75" x14ac:dyDescent="0.25"/>
    <row r="867" ht="15.75" x14ac:dyDescent="0.25"/>
    <row r="868" ht="15.75" x14ac:dyDescent="0.25"/>
    <row r="869" ht="15.75" x14ac:dyDescent="0.25"/>
    <row r="870" ht="15.75" x14ac:dyDescent="0.25"/>
    <row r="871" ht="15.75" x14ac:dyDescent="0.25"/>
    <row r="872" ht="15.75" x14ac:dyDescent="0.25"/>
    <row r="873" ht="15.75" x14ac:dyDescent="0.25"/>
    <row r="874" ht="15.75" x14ac:dyDescent="0.25"/>
    <row r="875" ht="15.75" x14ac:dyDescent="0.25"/>
    <row r="876" ht="15.75" x14ac:dyDescent="0.25"/>
    <row r="877" ht="15.75" x14ac:dyDescent="0.25"/>
    <row r="878" ht="15.75" x14ac:dyDescent="0.25"/>
    <row r="879" ht="15.75" x14ac:dyDescent="0.25"/>
    <row r="880" ht="15.75" x14ac:dyDescent="0.25"/>
    <row r="881" ht="15.75" x14ac:dyDescent="0.25"/>
    <row r="882" ht="15.75" x14ac:dyDescent="0.25"/>
    <row r="883" ht="15.75" x14ac:dyDescent="0.25"/>
    <row r="884" ht="15.75" x14ac:dyDescent="0.25"/>
    <row r="885" ht="15.75" x14ac:dyDescent="0.25"/>
    <row r="886" ht="15.75" x14ac:dyDescent="0.25"/>
    <row r="887" ht="15.75" x14ac:dyDescent="0.25"/>
    <row r="888" ht="15.75" x14ac:dyDescent="0.25"/>
    <row r="889" ht="15.75" x14ac:dyDescent="0.25"/>
    <row r="890" ht="15.75" x14ac:dyDescent="0.25"/>
    <row r="891" ht="15.75" x14ac:dyDescent="0.25"/>
    <row r="892" ht="15.75" x14ac:dyDescent="0.25"/>
    <row r="893" ht="15.75" x14ac:dyDescent="0.25"/>
    <row r="894" ht="15.75" x14ac:dyDescent="0.25"/>
    <row r="895" ht="15.75" x14ac:dyDescent="0.25"/>
    <row r="896" ht="15.75" x14ac:dyDescent="0.25"/>
    <row r="897" ht="15.75" x14ac:dyDescent="0.25"/>
    <row r="898" ht="15.75" x14ac:dyDescent="0.25"/>
    <row r="899" ht="15.75" x14ac:dyDescent="0.25"/>
    <row r="900" ht="15.75" x14ac:dyDescent="0.25"/>
    <row r="901" ht="15.75" x14ac:dyDescent="0.25"/>
    <row r="902" ht="15.75" x14ac:dyDescent="0.25"/>
    <row r="903" ht="15.75" x14ac:dyDescent="0.25"/>
    <row r="904" ht="15.75" x14ac:dyDescent="0.25"/>
    <row r="905" ht="15.75" x14ac:dyDescent="0.25"/>
    <row r="906" ht="15.75" x14ac:dyDescent="0.25"/>
    <row r="907" ht="15.75" x14ac:dyDescent="0.25"/>
    <row r="908" ht="15.75" x14ac:dyDescent="0.25"/>
    <row r="909" ht="15.75" x14ac:dyDescent="0.25"/>
    <row r="910" ht="15.75" x14ac:dyDescent="0.25"/>
    <row r="911" ht="15.75" x14ac:dyDescent="0.25"/>
    <row r="912" ht="15.75" x14ac:dyDescent="0.25"/>
    <row r="913" ht="15.75" x14ac:dyDescent="0.25"/>
    <row r="914" ht="15.75" x14ac:dyDescent="0.25"/>
    <row r="915" ht="15.75" x14ac:dyDescent="0.25"/>
    <row r="916" ht="15.75" x14ac:dyDescent="0.25"/>
    <row r="917" ht="15.75" x14ac:dyDescent="0.25"/>
    <row r="918" ht="15.75" x14ac:dyDescent="0.25"/>
    <row r="919" ht="15.75" x14ac:dyDescent="0.25"/>
    <row r="920" ht="15.75" x14ac:dyDescent="0.25"/>
    <row r="921" ht="15.75" x14ac:dyDescent="0.25"/>
    <row r="922" ht="15.75" x14ac:dyDescent="0.25"/>
    <row r="923" ht="15.75" x14ac:dyDescent="0.25"/>
    <row r="924" ht="15.75" x14ac:dyDescent="0.25"/>
    <row r="925" ht="15.75" x14ac:dyDescent="0.25"/>
    <row r="926" ht="15.75" x14ac:dyDescent="0.25"/>
  </sheetData>
  <mergeCells count="8">
    <mergeCell ref="A10:F10"/>
    <mergeCell ref="A12:F12"/>
    <mergeCell ref="A5:F5"/>
    <mergeCell ref="A1:G1"/>
    <mergeCell ref="A3:G3"/>
    <mergeCell ref="A4:G4"/>
    <mergeCell ref="A7:G7"/>
    <mergeCell ref="A11:G11"/>
  </mergeCells>
  <hyperlinks>
    <hyperlink ref="C8" r:id="rId1" xr:uid="{9328B8A4-0B26-491E-8E19-FA293871AED5}"/>
    <hyperlink ref="C6" r:id="rId2" xr:uid="{8A5D2600-9F64-4B63-8415-305107992E40}"/>
    <hyperlink ref="B31" r:id="rId3" display="https://kestavyysloikka.ymparisto.fi/maalampo-laski-ison-paritaloasunnon-energiakuluja-lahes-3-000-euroa-vuodessa/" xr:uid="{238BCC7F-21E3-460E-9E61-D1D7988CD5D8}"/>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D1CA0-A239-4258-8280-741A3BEE6F8A}">
  <sheetPr>
    <tabColor rgb="FFFFC000"/>
  </sheetPr>
  <dimension ref="A1:V108"/>
  <sheetViews>
    <sheetView zoomScale="80" zoomScaleNormal="80" workbookViewId="0">
      <selection activeCell="A3" sqref="A3"/>
    </sheetView>
  </sheetViews>
  <sheetFormatPr defaultColWidth="8.7109375" defaultRowHeight="15" x14ac:dyDescent="0.25"/>
  <cols>
    <col min="1" max="1" width="52" style="100" customWidth="1"/>
    <col min="2" max="3" width="10.42578125" style="100" customWidth="1"/>
    <col min="4" max="4" width="11.5703125" style="100" customWidth="1"/>
    <col min="5" max="5" width="10.140625" style="100" bestFit="1" customWidth="1"/>
    <col min="6" max="6" width="11.140625" style="100" customWidth="1"/>
    <col min="7" max="7" width="8.7109375" style="100"/>
    <col min="8" max="8" width="13.5703125" style="100" bestFit="1" customWidth="1"/>
    <col min="9" max="9" width="11.28515625" style="100" bestFit="1" customWidth="1"/>
    <col min="10" max="10" width="11.85546875" style="100" bestFit="1" customWidth="1"/>
    <col min="11" max="11" width="11.140625" style="100" customWidth="1"/>
    <col min="12" max="12" width="10.28515625" style="100" bestFit="1" customWidth="1"/>
    <col min="13" max="13" width="10.140625" style="100" bestFit="1" customWidth="1"/>
    <col min="14" max="14" width="9.5703125" style="100" customWidth="1"/>
    <col min="15" max="17" width="8.7109375" style="100"/>
    <col min="18" max="18" width="10.85546875" style="100" customWidth="1"/>
    <col min="19" max="19" width="9.5703125" style="100" customWidth="1"/>
    <col min="20" max="20" width="8.7109375" style="100"/>
    <col min="21" max="22" width="9.5703125" style="100" customWidth="1"/>
    <col min="23" max="16384" width="8.7109375" style="100"/>
  </cols>
  <sheetData>
    <row r="1" spans="1:12" x14ac:dyDescent="0.25">
      <c r="A1" s="340" t="s">
        <v>262</v>
      </c>
      <c r="B1" s="340"/>
      <c r="C1" s="340"/>
      <c r="D1" s="340"/>
      <c r="E1" s="340"/>
      <c r="F1" s="340"/>
      <c r="G1" s="340"/>
      <c r="H1" s="340"/>
      <c r="I1" s="340"/>
      <c r="J1" s="340"/>
      <c r="K1" s="340"/>
      <c r="L1" s="340"/>
    </row>
    <row r="2" spans="1:12" x14ac:dyDescent="0.25">
      <c r="A2" s="145" t="s">
        <v>153</v>
      </c>
    </row>
    <row r="3" spans="1:12" ht="15.75" x14ac:dyDescent="0.25">
      <c r="A3" s="252" t="s">
        <v>279</v>
      </c>
    </row>
    <row r="5" spans="1:12" x14ac:dyDescent="0.25">
      <c r="A5" s="8" t="s">
        <v>46</v>
      </c>
    </row>
    <row r="6" spans="1:12" x14ac:dyDescent="0.25">
      <c r="A6" s="9" t="s">
        <v>1</v>
      </c>
    </row>
    <row r="7" spans="1:12" x14ac:dyDescent="0.25">
      <c r="A7" s="9"/>
    </row>
    <row r="8" spans="1:12" x14ac:dyDescent="0.25">
      <c r="A8" s="48" t="s">
        <v>111</v>
      </c>
    </row>
    <row r="9" spans="1:12" ht="15.75" x14ac:dyDescent="0.25">
      <c r="A9" s="341" t="s">
        <v>267</v>
      </c>
      <c r="B9" s="338"/>
      <c r="C9" s="339"/>
      <c r="D9" s="107">
        <v>105</v>
      </c>
      <c r="E9" s="100" t="s">
        <v>47</v>
      </c>
      <c r="G9" s="100" t="s">
        <v>4</v>
      </c>
    </row>
    <row r="10" spans="1:12" ht="15.75" x14ac:dyDescent="0.25">
      <c r="A10" s="341" t="s">
        <v>113</v>
      </c>
      <c r="B10" s="338"/>
      <c r="C10" s="339"/>
      <c r="D10" s="305">
        <v>0.01</v>
      </c>
      <c r="G10" s="100" t="s">
        <v>6</v>
      </c>
      <c r="I10" s="10" t="s">
        <v>9</v>
      </c>
    </row>
    <row r="11" spans="1:12" ht="15.75" x14ac:dyDescent="0.25">
      <c r="A11" s="342" t="s">
        <v>110</v>
      </c>
      <c r="B11" s="343"/>
      <c r="C11" s="344"/>
      <c r="D11" s="106">
        <f>(2000)*10</f>
        <v>20000</v>
      </c>
      <c r="E11" s="100" t="s">
        <v>10</v>
      </c>
      <c r="G11" s="100" t="s">
        <v>4</v>
      </c>
    </row>
    <row r="12" spans="1:12" ht="15.75" x14ac:dyDescent="0.25">
      <c r="A12" s="342" t="s">
        <v>137</v>
      </c>
      <c r="B12" s="343"/>
      <c r="C12" s="344"/>
      <c r="D12" s="105">
        <v>0.8</v>
      </c>
    </row>
    <row r="13" spans="1:12" ht="15.75" x14ac:dyDescent="0.25">
      <c r="A13" s="342" t="s">
        <v>138</v>
      </c>
      <c r="B13" s="343"/>
      <c r="C13" s="344"/>
      <c r="D13" s="106">
        <f>(D11*D12)</f>
        <v>16000</v>
      </c>
      <c r="E13" s="100" t="s">
        <v>10</v>
      </c>
    </row>
    <row r="14" spans="1:12" ht="15.75" x14ac:dyDescent="0.25">
      <c r="A14" s="346" t="s">
        <v>139</v>
      </c>
      <c r="B14" s="346"/>
      <c r="C14" s="346"/>
      <c r="D14" s="106" t="s">
        <v>4</v>
      </c>
      <c r="E14" s="100" t="s">
        <v>4</v>
      </c>
    </row>
    <row r="15" spans="1:12" x14ac:dyDescent="0.25">
      <c r="A15" s="46"/>
      <c r="B15" s="46"/>
      <c r="C15" s="46"/>
      <c r="D15" s="47"/>
    </row>
    <row r="16" spans="1:12" x14ac:dyDescent="0.25">
      <c r="A16" s="46"/>
      <c r="B16" s="46"/>
      <c r="C16" s="46"/>
      <c r="D16" s="47"/>
    </row>
    <row r="17" spans="1:18" x14ac:dyDescent="0.25">
      <c r="A17" s="49" t="s">
        <v>112</v>
      </c>
      <c r="B17" s="46"/>
      <c r="C17" s="46"/>
      <c r="D17" s="47"/>
    </row>
    <row r="18" spans="1:18" ht="15.75" x14ac:dyDescent="0.25">
      <c r="A18" s="345" t="s">
        <v>114</v>
      </c>
      <c r="B18" s="338"/>
      <c r="C18" s="339"/>
      <c r="D18" s="11">
        <v>2.5</v>
      </c>
    </row>
    <row r="19" spans="1:18" ht="15.75" x14ac:dyDescent="0.25">
      <c r="A19" s="337" t="s">
        <v>268</v>
      </c>
      <c r="B19" s="338"/>
      <c r="C19" s="339"/>
      <c r="D19" s="39">
        <f>(8000+12000)/2</f>
        <v>10000</v>
      </c>
      <c r="G19" s="100" t="s">
        <v>4</v>
      </c>
      <c r="I19" s="10" t="s">
        <v>4</v>
      </c>
    </row>
    <row r="20" spans="1:18" ht="15.75" x14ac:dyDescent="0.25">
      <c r="A20" s="345" t="s">
        <v>48</v>
      </c>
      <c r="B20" s="338"/>
      <c r="C20" s="339"/>
      <c r="D20" s="97">
        <v>0.4</v>
      </c>
      <c r="G20" s="100" t="s">
        <v>6</v>
      </c>
      <c r="H20" s="10" t="s">
        <v>18</v>
      </c>
      <c r="I20" s="10" t="s">
        <v>19</v>
      </c>
      <c r="K20" s="10" t="s">
        <v>20</v>
      </c>
      <c r="L20" s="10" t="s">
        <v>249</v>
      </c>
      <c r="R20" s="100" t="s">
        <v>277</v>
      </c>
    </row>
    <row r="21" spans="1:18" ht="15.75" x14ac:dyDescent="0.25">
      <c r="A21" s="348" t="s">
        <v>49</v>
      </c>
      <c r="B21" s="338"/>
      <c r="C21" s="339"/>
      <c r="D21" s="59">
        <v>0</v>
      </c>
      <c r="G21" s="100" t="s">
        <v>4</v>
      </c>
      <c r="I21" s="10" t="s">
        <v>4</v>
      </c>
      <c r="K21" s="10" t="s">
        <v>4</v>
      </c>
      <c r="N21" s="10" t="s">
        <v>4</v>
      </c>
    </row>
    <row r="22" spans="1:18" ht="15.75" x14ac:dyDescent="0.25">
      <c r="A22" s="349" t="s">
        <v>118</v>
      </c>
      <c r="B22" s="350"/>
      <c r="C22" s="350"/>
      <c r="D22" s="52">
        <v>0</v>
      </c>
    </row>
    <row r="23" spans="1:18" ht="15.75" x14ac:dyDescent="0.25">
      <c r="A23" s="351" t="s">
        <v>119</v>
      </c>
      <c r="B23" s="352"/>
      <c r="C23" s="353"/>
      <c r="D23" s="60">
        <v>1</v>
      </c>
      <c r="H23" s="100" t="s">
        <v>4</v>
      </c>
    </row>
    <row r="24" spans="1:18" ht="15.75" x14ac:dyDescent="0.25">
      <c r="A24" s="354" t="s">
        <v>269</v>
      </c>
      <c r="B24" s="355"/>
      <c r="C24" s="356"/>
      <c r="D24" s="61">
        <v>0</v>
      </c>
      <c r="E24" s="4" t="s">
        <v>47</v>
      </c>
      <c r="G24" s="100" t="s">
        <v>4</v>
      </c>
    </row>
    <row r="25" spans="1:18" ht="15.6" customHeight="1" x14ac:dyDescent="0.25">
      <c r="A25" s="357" t="s">
        <v>270</v>
      </c>
      <c r="B25" s="350"/>
      <c r="C25" s="358"/>
      <c r="D25" s="306">
        <v>150</v>
      </c>
      <c r="E25" s="101" t="s">
        <v>4</v>
      </c>
      <c r="G25" s="100" t="s">
        <v>4</v>
      </c>
    </row>
    <row r="26" spans="1:18" ht="15.75" x14ac:dyDescent="0.25">
      <c r="A26" s="359" t="s">
        <v>131</v>
      </c>
      <c r="B26" s="360"/>
      <c r="C26" s="361"/>
      <c r="D26" s="58">
        <f>(D13*0.7)</f>
        <v>11200</v>
      </c>
      <c r="E26" s="100" t="s">
        <v>27</v>
      </c>
      <c r="F26" s="100" t="s">
        <v>4</v>
      </c>
      <c r="G26" s="100" t="s">
        <v>256</v>
      </c>
      <c r="L26" s="100" t="s">
        <v>4</v>
      </c>
    </row>
    <row r="27" spans="1:18" ht="15.6" customHeight="1" x14ac:dyDescent="0.25">
      <c r="A27" s="362" t="s">
        <v>83</v>
      </c>
      <c r="B27" s="350"/>
      <c r="C27" s="358"/>
      <c r="D27" s="62">
        <v>0</v>
      </c>
      <c r="G27" s="100" t="s">
        <v>4</v>
      </c>
    </row>
    <row r="28" spans="1:18" ht="15.75" x14ac:dyDescent="0.25">
      <c r="A28" s="363" t="s">
        <v>271</v>
      </c>
      <c r="B28" s="363"/>
      <c r="C28" s="363"/>
      <c r="D28" s="314">
        <f>(14)</f>
        <v>14</v>
      </c>
      <c r="E28" s="100" t="s">
        <v>3</v>
      </c>
    </row>
    <row r="29" spans="1:18" ht="15.75" x14ac:dyDescent="0.25">
      <c r="A29" s="347" t="s">
        <v>115</v>
      </c>
      <c r="B29" s="347"/>
      <c r="C29" s="347"/>
      <c r="D29" s="315">
        <v>5000</v>
      </c>
      <c r="E29" s="100" t="s">
        <v>4</v>
      </c>
    </row>
    <row r="30" spans="1:18" ht="15.75" x14ac:dyDescent="0.25">
      <c r="A30" s="347" t="s">
        <v>116</v>
      </c>
      <c r="B30" s="347"/>
      <c r="C30" s="347"/>
      <c r="D30" s="54">
        <v>5</v>
      </c>
      <c r="E30" s="100" t="s">
        <v>85</v>
      </c>
    </row>
    <row r="31" spans="1:18" ht="15.75" x14ac:dyDescent="0.25">
      <c r="A31" s="347" t="s">
        <v>117</v>
      </c>
      <c r="B31" s="347"/>
      <c r="C31" s="347"/>
      <c r="D31" s="53">
        <v>1.4999999999999999E-2</v>
      </c>
    </row>
    <row r="32" spans="1:18" ht="15.75" x14ac:dyDescent="0.25">
      <c r="A32" s="50"/>
      <c r="B32" s="44"/>
      <c r="C32" s="44"/>
      <c r="D32" s="51"/>
    </row>
    <row r="33" spans="1:22" ht="15.75" x14ac:dyDescent="0.25">
      <c r="A33" s="50"/>
      <c r="B33" s="44"/>
      <c r="C33" s="44"/>
      <c r="D33" s="51"/>
    </row>
    <row r="34" spans="1:22" ht="15.75" x14ac:dyDescent="0.25">
      <c r="A34" s="50"/>
      <c r="B34" s="44"/>
      <c r="C34" s="44"/>
      <c r="D34" s="51"/>
    </row>
    <row r="35" spans="1:22" ht="15.75" x14ac:dyDescent="0.25">
      <c r="A35" s="50"/>
      <c r="B35" s="44"/>
      <c r="C35" s="44"/>
      <c r="D35" s="51"/>
    </row>
    <row r="36" spans="1:22" ht="15.75" x14ac:dyDescent="0.25">
      <c r="A36" s="25" t="s">
        <v>99</v>
      </c>
      <c r="B36" s="12"/>
      <c r="C36" s="12"/>
      <c r="D36" s="12"/>
    </row>
    <row r="37" spans="1:22" ht="141.75" x14ac:dyDescent="0.25">
      <c r="A37" s="109" t="s">
        <v>141</v>
      </c>
      <c r="B37" s="110" t="s">
        <v>142</v>
      </c>
      <c r="C37" s="110" t="s">
        <v>143</v>
      </c>
      <c r="D37" s="110" t="s">
        <v>144</v>
      </c>
      <c r="E37" s="111" t="s">
        <v>116</v>
      </c>
      <c r="F37" s="111" t="s">
        <v>145</v>
      </c>
      <c r="G37" s="111" t="s">
        <v>146</v>
      </c>
      <c r="H37" s="111" t="s">
        <v>147</v>
      </c>
      <c r="I37" s="111" t="s">
        <v>148</v>
      </c>
      <c r="J37" s="111" t="s">
        <v>149</v>
      </c>
      <c r="K37" s="111" t="s">
        <v>150</v>
      </c>
      <c r="L37" s="112" t="s">
        <v>31</v>
      </c>
      <c r="M37" s="113" t="s">
        <v>32</v>
      </c>
      <c r="N37" s="113" t="s">
        <v>33</v>
      </c>
      <c r="O37" s="112" t="s">
        <v>101</v>
      </c>
      <c r="P37" s="109" t="s">
        <v>102</v>
      </c>
      <c r="Q37" s="109" t="s">
        <v>103</v>
      </c>
      <c r="R37" s="109" t="s">
        <v>104</v>
      </c>
      <c r="S37" s="114" t="s">
        <v>100</v>
      </c>
      <c r="T37" s="115" t="s">
        <v>30</v>
      </c>
      <c r="U37" s="116" t="s">
        <v>151</v>
      </c>
      <c r="V37" s="116" t="s">
        <v>105</v>
      </c>
    </row>
    <row r="38" spans="1:22" ht="15.75" x14ac:dyDescent="0.25">
      <c r="A38" s="24">
        <v>0</v>
      </c>
      <c r="B38" s="33">
        <f>D9</f>
        <v>105</v>
      </c>
      <c r="C38" s="24">
        <v>0</v>
      </c>
      <c r="D38" s="33">
        <f>(D13/1000*B38)+C38</f>
        <v>1680</v>
      </c>
      <c r="E38" s="117">
        <f>(0)</f>
        <v>0</v>
      </c>
      <c r="F38" s="118">
        <f>IF((D30&gt;0),0,$D$70)</f>
        <v>0</v>
      </c>
      <c r="G38" s="318">
        <f>(0)</f>
        <v>0</v>
      </c>
      <c r="H38" s="318">
        <f>IF(D29&gt;0,(D29),"")</f>
        <v>5000</v>
      </c>
      <c r="I38" s="318">
        <f>IF(OR(H38="",H38=0),0,D70-D29)</f>
        <v>1000</v>
      </c>
      <c r="J38" s="120">
        <v>0</v>
      </c>
      <c r="K38" s="121">
        <f>IFERROR(F38+G38+I38+J38,J38)</f>
        <v>1000</v>
      </c>
      <c r="L38" s="32">
        <f>S38-K38</f>
        <v>-1000</v>
      </c>
      <c r="M38" s="21">
        <f>L38</f>
        <v>-1000</v>
      </c>
      <c r="N38" s="122" t="s">
        <v>4</v>
      </c>
      <c r="O38" s="24">
        <f t="shared" ref="O38:O58" si="0">IF(N38&lt;0,1,0)</f>
        <v>0</v>
      </c>
      <c r="P38" s="33">
        <f>D9</f>
        <v>105</v>
      </c>
      <c r="Q38" s="33">
        <f>D24</f>
        <v>0</v>
      </c>
      <c r="R38" s="43">
        <f>IF(D24&gt;0,G105,I105)</f>
        <v>11200.000000000002</v>
      </c>
      <c r="S38" s="21">
        <v>0</v>
      </c>
      <c r="T38" s="64">
        <v>0</v>
      </c>
      <c r="U38" s="66">
        <f>D38</f>
        <v>1680</v>
      </c>
      <c r="V38" s="66">
        <f>(K38)</f>
        <v>1000</v>
      </c>
    </row>
    <row r="39" spans="1:22" ht="15.75" x14ac:dyDescent="0.25">
      <c r="A39" s="24">
        <v>1</v>
      </c>
      <c r="B39" s="33">
        <f>(1+D10)*B38</f>
        <v>106.05</v>
      </c>
      <c r="C39" s="24">
        <v>0</v>
      </c>
      <c r="D39" s="33">
        <f>(D13/1000*B39)+C39</f>
        <v>1696.8</v>
      </c>
      <c r="E39" s="117">
        <f>IF(OR(H38="",H38=0),"",E38+1)</f>
        <v>1</v>
      </c>
      <c r="F39" s="118">
        <f>IF(E39="","",$D$29/$D$30)</f>
        <v>1000</v>
      </c>
      <c r="G39" s="318">
        <f>IF(E39="","",(H38*$D$31))</f>
        <v>75</v>
      </c>
      <c r="H39" s="318">
        <f>IFERROR(ROUND(IF(E39="","",($H$38-SUM($F$38:F39))),2),"")</f>
        <v>4000</v>
      </c>
      <c r="I39" s="119"/>
      <c r="J39" s="120">
        <f>D25</f>
        <v>150</v>
      </c>
      <c r="K39" s="121">
        <f>IFERROR(F39+G39+I39+J39,J39)</f>
        <v>1225</v>
      </c>
      <c r="L39" s="32">
        <f>S39-K39</f>
        <v>-37.239999999999782</v>
      </c>
      <c r="M39" s="21">
        <f t="shared" ref="M39:M56" si="1">M38+$L39</f>
        <v>-1037.2399999999998</v>
      </c>
      <c r="N39" s="21">
        <f>NPV(D22,L38:L39)</f>
        <v>-1037.2399999999998</v>
      </c>
      <c r="O39" s="24">
        <f t="shared" si="0"/>
        <v>1</v>
      </c>
      <c r="P39" s="33">
        <f t="shared" ref="P39:Q54" si="2">(1+$D$10)*P38</f>
        <v>106.05</v>
      </c>
      <c r="Q39" s="33">
        <f t="shared" si="2"/>
        <v>0</v>
      </c>
      <c r="R39" s="43">
        <f>R38*(1+$D$27)</f>
        <v>11200.000000000002</v>
      </c>
      <c r="S39" s="21">
        <f>R39*D23*P39/1000+R39*(1-D23)*D24/1000</f>
        <v>1187.7600000000002</v>
      </c>
      <c r="T39" s="64">
        <v>1</v>
      </c>
      <c r="U39" s="66">
        <f t="shared" ref="U39:U58" si="3">(U38+D39)</f>
        <v>3376.8</v>
      </c>
      <c r="V39" s="66">
        <f>(V38+(D71+D72))</f>
        <v>2299.1999999999998</v>
      </c>
    </row>
    <row r="40" spans="1:22" ht="15.75" x14ac:dyDescent="0.25">
      <c r="A40" s="24">
        <v>2</v>
      </c>
      <c r="B40" s="33">
        <f>(1+D10)*B39</f>
        <v>107.1105</v>
      </c>
      <c r="C40" s="24">
        <v>0</v>
      </c>
      <c r="D40" s="33">
        <f>(D13/1000*B40)+C40</f>
        <v>1713.768</v>
      </c>
      <c r="E40" s="117">
        <f>IF(OR(H39="",H39=0),"",E39+1)</f>
        <v>2</v>
      </c>
      <c r="F40" s="118">
        <f t="shared" ref="F40:F58" si="4">IF(E40="","",$D$29/$D$30)</f>
        <v>1000</v>
      </c>
      <c r="G40" s="318">
        <f t="shared" ref="G40:G58" si="5">IF(E40="","",(H39*$D$31))</f>
        <v>60</v>
      </c>
      <c r="H40" s="318">
        <f>IFERROR(ROUND(IF(E40="","",($H$38-SUM($F$38:F40))),2),"")</f>
        <v>3000</v>
      </c>
      <c r="I40" s="119"/>
      <c r="J40" s="120">
        <f>D25</f>
        <v>150</v>
      </c>
      <c r="K40" s="121">
        <f t="shared" ref="K40:K58" si="6">IFERROR(F40+G40+I40+J40,J40)</f>
        <v>1210</v>
      </c>
      <c r="L40" s="32">
        <f t="shared" ref="L40:L58" si="7">S40-K40</f>
        <v>-10.362399999999752</v>
      </c>
      <c r="M40" s="21">
        <f t="shared" si="1"/>
        <v>-1047.6023999999995</v>
      </c>
      <c r="N40" s="21">
        <f>NPV(D22,L38:L40)</f>
        <v>-1047.6023999999995</v>
      </c>
      <c r="O40" s="24">
        <f t="shared" si="0"/>
        <v>1</v>
      </c>
      <c r="P40" s="33">
        <f t="shared" si="2"/>
        <v>107.1105</v>
      </c>
      <c r="Q40" s="33">
        <f t="shared" si="2"/>
        <v>0</v>
      </c>
      <c r="R40" s="43">
        <f t="shared" ref="R40:R58" si="8">R39*(1+$D$27)</f>
        <v>11200.000000000002</v>
      </c>
      <c r="S40" s="21">
        <f>R40*D23*P40/1000+R40*(1-D23)*D24/1000</f>
        <v>1199.6376000000002</v>
      </c>
      <c r="T40" s="64">
        <v>2</v>
      </c>
      <c r="U40" s="66">
        <f t="shared" si="3"/>
        <v>5090.5680000000002</v>
      </c>
      <c r="V40" s="66">
        <f>(V39+(D71+D72))</f>
        <v>3598.3999999999996</v>
      </c>
    </row>
    <row r="41" spans="1:22" ht="15.75" x14ac:dyDescent="0.25">
      <c r="A41" s="24">
        <v>3</v>
      </c>
      <c r="B41" s="33">
        <f>(1+D10)*B40</f>
        <v>108.181605</v>
      </c>
      <c r="C41" s="24">
        <v>0</v>
      </c>
      <c r="D41" s="33">
        <f>(D13/1000*B41)+C41</f>
        <v>1730.9056800000001</v>
      </c>
      <c r="E41" s="117">
        <f t="shared" ref="E41:E58" si="9">IF(OR(H40="",H40=0),"",E40+1)</f>
        <v>3</v>
      </c>
      <c r="F41" s="118">
        <f t="shared" si="4"/>
        <v>1000</v>
      </c>
      <c r="G41" s="318">
        <f t="shared" si="5"/>
        <v>45</v>
      </c>
      <c r="H41" s="318">
        <f>IFERROR(ROUND(IF(E41="","",($H$38-SUM($F$38:F41))),2),"")</f>
        <v>2000</v>
      </c>
      <c r="I41" s="119"/>
      <c r="J41" s="120">
        <f>D25</f>
        <v>150</v>
      </c>
      <c r="K41" s="121">
        <f t="shared" si="6"/>
        <v>1195</v>
      </c>
      <c r="L41" s="32">
        <f t="shared" si="7"/>
        <v>16.633976000000303</v>
      </c>
      <c r="M41" s="21">
        <f t="shared" si="1"/>
        <v>-1030.9684239999992</v>
      </c>
      <c r="N41" s="21">
        <f>NPV(D22,L38:L41)</f>
        <v>-1030.9684239999992</v>
      </c>
      <c r="O41" s="24">
        <f t="shared" si="0"/>
        <v>1</v>
      </c>
      <c r="P41" s="33">
        <f t="shared" si="2"/>
        <v>108.181605</v>
      </c>
      <c r="Q41" s="33">
        <f t="shared" si="2"/>
        <v>0</v>
      </c>
      <c r="R41" s="43">
        <f t="shared" si="8"/>
        <v>11200.000000000002</v>
      </c>
      <c r="S41" s="21">
        <f>R41*D23*P41/1000+R41*(1-D23)*D24/1000</f>
        <v>1211.6339760000003</v>
      </c>
      <c r="T41" s="64">
        <v>3</v>
      </c>
      <c r="U41" s="66">
        <f t="shared" si="3"/>
        <v>6821.4736800000001</v>
      </c>
      <c r="V41" s="66">
        <f>(V40+(D71+D72))</f>
        <v>4897.5999999999995</v>
      </c>
    </row>
    <row r="42" spans="1:22" ht="15.75" x14ac:dyDescent="0.25">
      <c r="A42" s="24">
        <v>4</v>
      </c>
      <c r="B42" s="33">
        <f>(1+D10)*B41</f>
        <v>109.26342105000001</v>
      </c>
      <c r="C42" s="24">
        <v>0</v>
      </c>
      <c r="D42" s="33">
        <f>(D13/1000*B42)+C42</f>
        <v>1748.2147368000001</v>
      </c>
      <c r="E42" s="117">
        <f t="shared" si="9"/>
        <v>4</v>
      </c>
      <c r="F42" s="118">
        <f t="shared" si="4"/>
        <v>1000</v>
      </c>
      <c r="G42" s="318">
        <f t="shared" si="5"/>
        <v>30</v>
      </c>
      <c r="H42" s="318">
        <f>IFERROR(ROUND(IF(E42="","",($H$38-SUM($F$38:F42))),2),"")</f>
        <v>1000</v>
      </c>
      <c r="I42" s="119"/>
      <c r="J42" s="120">
        <f>D25</f>
        <v>150</v>
      </c>
      <c r="K42" s="121">
        <f t="shared" si="6"/>
        <v>1180</v>
      </c>
      <c r="L42" s="32">
        <f t="shared" si="7"/>
        <v>43.750315760000149</v>
      </c>
      <c r="M42" s="69">
        <f t="shared" si="1"/>
        <v>-987.21810823999908</v>
      </c>
      <c r="N42" s="21">
        <f>NPV(D22,L38:L42)</f>
        <v>-987.21810823999908</v>
      </c>
      <c r="O42" s="24">
        <f t="shared" si="0"/>
        <v>1</v>
      </c>
      <c r="P42" s="33">
        <f t="shared" si="2"/>
        <v>109.26342105000001</v>
      </c>
      <c r="Q42" s="33">
        <f t="shared" si="2"/>
        <v>0</v>
      </c>
      <c r="R42" s="43">
        <f t="shared" si="8"/>
        <v>11200.000000000002</v>
      </c>
      <c r="S42" s="21">
        <f>R42*D23*P42/1000+R42*(1-D23)*D24/1000</f>
        <v>1223.7503157600001</v>
      </c>
      <c r="T42" s="64">
        <v>4</v>
      </c>
      <c r="U42" s="66">
        <f t="shared" si="3"/>
        <v>8569.6884167999997</v>
      </c>
      <c r="V42" s="66">
        <f>(V41+(D71+D72))</f>
        <v>6196.7999999999993</v>
      </c>
    </row>
    <row r="43" spans="1:22" ht="15.75" x14ac:dyDescent="0.25">
      <c r="A43" s="24">
        <v>5</v>
      </c>
      <c r="B43" s="33">
        <f>(1+D10)*B42</f>
        <v>110.3560552605</v>
      </c>
      <c r="C43" s="24">
        <v>0</v>
      </c>
      <c r="D43" s="33">
        <f>(D13/1000*B43)+C43</f>
        <v>1765.696884168</v>
      </c>
      <c r="E43" s="117">
        <f t="shared" si="9"/>
        <v>5</v>
      </c>
      <c r="F43" s="118">
        <f t="shared" si="4"/>
        <v>1000</v>
      </c>
      <c r="G43" s="318">
        <f t="shared" si="5"/>
        <v>15</v>
      </c>
      <c r="H43" s="318">
        <f>IFERROR(ROUND(IF(E43="","",($H$38-SUM($F$38:F43))),2),"")</f>
        <v>0</v>
      </c>
      <c r="I43" s="119"/>
      <c r="J43" s="120">
        <f>D25</f>
        <v>150</v>
      </c>
      <c r="K43" s="121">
        <f t="shared" si="6"/>
        <v>1165</v>
      </c>
      <c r="L43" s="32">
        <f t="shared" si="7"/>
        <v>70.98781891760018</v>
      </c>
      <c r="M43" s="70">
        <f t="shared" si="1"/>
        <v>-916.2302893223989</v>
      </c>
      <c r="N43" s="21">
        <f>NPV(D22,L38:L43)</f>
        <v>-916.2302893223989</v>
      </c>
      <c r="O43" s="24">
        <f t="shared" si="0"/>
        <v>1</v>
      </c>
      <c r="P43" s="33">
        <f t="shared" si="2"/>
        <v>110.3560552605</v>
      </c>
      <c r="Q43" s="33">
        <f t="shared" si="2"/>
        <v>0</v>
      </c>
      <c r="R43" s="43">
        <f t="shared" si="8"/>
        <v>11200.000000000002</v>
      </c>
      <c r="S43" s="21">
        <f>R43*D23*P43/1000+R43*(1-D23)*D24/1000</f>
        <v>1235.9878189176002</v>
      </c>
      <c r="T43" s="64">
        <v>5</v>
      </c>
      <c r="U43" s="66">
        <f t="shared" si="3"/>
        <v>10335.385300967999</v>
      </c>
      <c r="V43" s="66">
        <f>(V42+(D71+D72))</f>
        <v>7495.9999999999991</v>
      </c>
    </row>
    <row r="44" spans="1:22" ht="15.75" x14ac:dyDescent="0.25">
      <c r="A44" s="24">
        <v>6</v>
      </c>
      <c r="B44" s="33">
        <f>(1+D10)*B43</f>
        <v>111.459615813105</v>
      </c>
      <c r="C44" s="24">
        <v>0</v>
      </c>
      <c r="D44" s="33">
        <f>(D13/1000*B44)+C44</f>
        <v>1783.3538530096801</v>
      </c>
      <c r="E44" s="117" t="str">
        <f t="shared" si="9"/>
        <v/>
      </c>
      <c r="F44" s="118" t="str">
        <f t="shared" si="4"/>
        <v/>
      </c>
      <c r="G44" s="318" t="str">
        <f t="shared" si="5"/>
        <v/>
      </c>
      <c r="H44" s="318" t="str">
        <f>IFERROR(ROUND(IF(E44="","",($H$38-SUM($F$38:F44))),2),"")</f>
        <v/>
      </c>
      <c r="I44" s="119"/>
      <c r="J44" s="120">
        <f>D25</f>
        <v>150</v>
      </c>
      <c r="K44" s="121">
        <f t="shared" si="6"/>
        <v>150</v>
      </c>
      <c r="L44" s="68">
        <f t="shared" si="7"/>
        <v>1098.3476971067762</v>
      </c>
      <c r="M44" s="70">
        <f t="shared" si="1"/>
        <v>182.11740778437729</v>
      </c>
      <c r="N44" s="123">
        <f>NPV(D22,L38:L44)</f>
        <v>182.11740778437729</v>
      </c>
      <c r="O44" s="67">
        <f t="shared" si="0"/>
        <v>0</v>
      </c>
      <c r="P44" s="33">
        <f t="shared" si="2"/>
        <v>111.459615813105</v>
      </c>
      <c r="Q44" s="33">
        <f t="shared" si="2"/>
        <v>0</v>
      </c>
      <c r="R44" s="43">
        <f t="shared" si="8"/>
        <v>11200.000000000002</v>
      </c>
      <c r="S44" s="21">
        <f>R44*D23*P44/1000+R44*(1-D23)*D24/1000</f>
        <v>1248.3476971067762</v>
      </c>
      <c r="T44" s="64">
        <v>6</v>
      </c>
      <c r="U44" s="66">
        <f t="shared" si="3"/>
        <v>12118.739153977678</v>
      </c>
      <c r="V44" s="66">
        <f>(V43+(D71+D72))</f>
        <v>8795.1999999999989</v>
      </c>
    </row>
    <row r="45" spans="1:22" ht="15.75" x14ac:dyDescent="0.25">
      <c r="A45" s="24">
        <v>7</v>
      </c>
      <c r="B45" s="33">
        <f>(1+D10)*B44</f>
        <v>112.57421197123605</v>
      </c>
      <c r="C45" s="24">
        <v>0</v>
      </c>
      <c r="D45" s="33">
        <f>(D13/1000*B45)+C45</f>
        <v>1801.1873915397769</v>
      </c>
      <c r="E45" s="117" t="str">
        <f t="shared" si="9"/>
        <v/>
      </c>
      <c r="F45" s="118" t="str">
        <f t="shared" si="4"/>
        <v/>
      </c>
      <c r="G45" s="318" t="str">
        <f t="shared" si="5"/>
        <v/>
      </c>
      <c r="H45" s="318" t="str">
        <f>IFERROR(ROUND(IF(E45="","",($H$38-SUM($F$38:F45))),2),"")</f>
        <v/>
      </c>
      <c r="I45" s="119"/>
      <c r="J45" s="120">
        <f>D25</f>
        <v>150</v>
      </c>
      <c r="K45" s="121">
        <f t="shared" si="6"/>
        <v>150</v>
      </c>
      <c r="L45" s="68">
        <f t="shared" si="7"/>
        <v>1110.831174077844</v>
      </c>
      <c r="M45" s="70">
        <f t="shared" si="1"/>
        <v>1292.9485818622213</v>
      </c>
      <c r="N45" s="70">
        <f>NPV(D22,L38:L45)</f>
        <v>1292.9485818622213</v>
      </c>
      <c r="O45" s="67">
        <f t="shared" si="0"/>
        <v>0</v>
      </c>
      <c r="P45" s="33">
        <f t="shared" si="2"/>
        <v>112.57421197123605</v>
      </c>
      <c r="Q45" s="33">
        <f t="shared" si="2"/>
        <v>0</v>
      </c>
      <c r="R45" s="43">
        <f t="shared" si="8"/>
        <v>11200.000000000002</v>
      </c>
      <c r="S45" s="21">
        <f>R45*D23*P45/1000+R45*(1-D23)*D24/1000</f>
        <v>1260.831174077844</v>
      </c>
      <c r="T45" s="64">
        <v>7</v>
      </c>
      <c r="U45" s="66">
        <f t="shared" si="3"/>
        <v>13919.926545517455</v>
      </c>
      <c r="V45" s="66">
        <f>(V44+(D71+D72))</f>
        <v>10094.4</v>
      </c>
    </row>
    <row r="46" spans="1:22" ht="15.75" x14ac:dyDescent="0.25">
      <c r="A46" s="24">
        <v>8</v>
      </c>
      <c r="B46" s="33">
        <f>(1+D10)*B45</f>
        <v>113.69995409094841</v>
      </c>
      <c r="C46" s="24">
        <v>0</v>
      </c>
      <c r="D46" s="33">
        <f>(D13/1000*B46)+C46</f>
        <v>1819.1992654551746</v>
      </c>
      <c r="E46" s="117" t="str">
        <f t="shared" si="9"/>
        <v/>
      </c>
      <c r="F46" s="118" t="str">
        <f t="shared" si="4"/>
        <v/>
      </c>
      <c r="G46" s="318" t="str">
        <f t="shared" si="5"/>
        <v/>
      </c>
      <c r="H46" s="318" t="str">
        <f>IFERROR(ROUND(IF(E46="","",($H$38-SUM($F$38:F46))),2),"")</f>
        <v/>
      </c>
      <c r="I46" s="119"/>
      <c r="J46" s="120">
        <f>D25</f>
        <v>150</v>
      </c>
      <c r="K46" s="121">
        <f t="shared" si="6"/>
        <v>150</v>
      </c>
      <c r="L46" s="68">
        <f t="shared" si="7"/>
        <v>1123.4394858186224</v>
      </c>
      <c r="M46" s="70">
        <f t="shared" si="1"/>
        <v>2416.388067680844</v>
      </c>
      <c r="N46" s="124">
        <f>NPV(D22,L38:L46)</f>
        <v>2416.388067680844</v>
      </c>
      <c r="O46" s="67">
        <f t="shared" si="0"/>
        <v>0</v>
      </c>
      <c r="P46" s="33">
        <f t="shared" si="2"/>
        <v>113.69995409094841</v>
      </c>
      <c r="Q46" s="33">
        <f t="shared" si="2"/>
        <v>0</v>
      </c>
      <c r="R46" s="43">
        <f t="shared" si="8"/>
        <v>11200.000000000002</v>
      </c>
      <c r="S46" s="21">
        <f>R46*D23*P46/1000+R46*(1-D23)*D24/1000</f>
        <v>1273.4394858186224</v>
      </c>
      <c r="T46" s="64">
        <v>8</v>
      </c>
      <c r="U46" s="66">
        <f t="shared" si="3"/>
        <v>15739.12581097263</v>
      </c>
      <c r="V46" s="66">
        <f>(V45+(D71+D72))</f>
        <v>11393.6</v>
      </c>
    </row>
    <row r="47" spans="1:22" ht="15.75" x14ac:dyDescent="0.25">
      <c r="A47" s="24">
        <v>9</v>
      </c>
      <c r="B47" s="33">
        <f>(1+D10)*B46</f>
        <v>114.8369536318579</v>
      </c>
      <c r="C47" s="24">
        <v>0</v>
      </c>
      <c r="D47" s="33">
        <f>(D13/1000*B47)+C47</f>
        <v>1837.3912581097263</v>
      </c>
      <c r="E47" s="117" t="str">
        <f t="shared" si="9"/>
        <v/>
      </c>
      <c r="F47" s="118" t="str">
        <f t="shared" si="4"/>
        <v/>
      </c>
      <c r="G47" s="318" t="str">
        <f t="shared" si="5"/>
        <v/>
      </c>
      <c r="H47" s="318" t="str">
        <f>IFERROR(ROUND(IF(E47="","",($H$38-SUM($F$38:F47))),2),"")</f>
        <v/>
      </c>
      <c r="I47" s="119"/>
      <c r="J47" s="120">
        <f>D25</f>
        <v>150</v>
      </c>
      <c r="K47" s="121">
        <f t="shared" si="6"/>
        <v>150</v>
      </c>
      <c r="L47" s="68">
        <f t="shared" si="7"/>
        <v>1136.1738806768085</v>
      </c>
      <c r="M47" s="70">
        <f t="shared" si="1"/>
        <v>3552.5619483576525</v>
      </c>
      <c r="N47" s="125">
        <f>NPV(D22,L38:L47)</f>
        <v>3552.5619483576525</v>
      </c>
      <c r="O47" s="67">
        <f t="shared" si="0"/>
        <v>0</v>
      </c>
      <c r="P47" s="33">
        <f t="shared" si="2"/>
        <v>114.8369536318579</v>
      </c>
      <c r="Q47" s="33">
        <f t="shared" si="2"/>
        <v>0</v>
      </c>
      <c r="R47" s="43">
        <f t="shared" si="8"/>
        <v>11200.000000000002</v>
      </c>
      <c r="S47" s="21">
        <f>R47*D23*P47/1000+R47*(1-D23)*D24/1000</f>
        <v>1286.1738806768085</v>
      </c>
      <c r="T47" s="64">
        <v>9</v>
      </c>
      <c r="U47" s="66">
        <f t="shared" si="3"/>
        <v>17576.517069082354</v>
      </c>
      <c r="V47" s="66">
        <f>(V46+(D71+D72))</f>
        <v>12692.800000000001</v>
      </c>
    </row>
    <row r="48" spans="1:22" ht="15.75" x14ac:dyDescent="0.25">
      <c r="A48" s="24">
        <v>10</v>
      </c>
      <c r="B48" s="33">
        <f>(1+D10)*B47</f>
        <v>115.98532316817648</v>
      </c>
      <c r="C48" s="24">
        <v>0</v>
      </c>
      <c r="D48" s="33">
        <f>(D13/1000*B48)+C48</f>
        <v>1855.7651706908237</v>
      </c>
      <c r="E48" s="117" t="str">
        <f t="shared" si="9"/>
        <v/>
      </c>
      <c r="F48" s="118" t="str">
        <f t="shared" si="4"/>
        <v/>
      </c>
      <c r="G48" s="318" t="str">
        <f t="shared" si="5"/>
        <v/>
      </c>
      <c r="H48" s="318" t="str">
        <f>IFERROR(ROUND(IF(E48="","",($H$38-SUM($F$38:F48))),2),"")</f>
        <v/>
      </c>
      <c r="I48" s="119"/>
      <c r="J48" s="120">
        <f>D25</f>
        <v>150</v>
      </c>
      <c r="K48" s="121">
        <f t="shared" si="6"/>
        <v>150</v>
      </c>
      <c r="L48" s="68">
        <f t="shared" si="7"/>
        <v>1149.035619483577</v>
      </c>
      <c r="M48" s="70">
        <f t="shared" si="1"/>
        <v>4701.5975678412296</v>
      </c>
      <c r="N48" s="125">
        <f>NPV(D22,L38:L48)</f>
        <v>4701.5975678412296</v>
      </c>
      <c r="O48" s="67">
        <f t="shared" si="0"/>
        <v>0</v>
      </c>
      <c r="P48" s="33">
        <f t="shared" si="2"/>
        <v>115.98532316817648</v>
      </c>
      <c r="Q48" s="33">
        <f t="shared" si="2"/>
        <v>0</v>
      </c>
      <c r="R48" s="43">
        <f t="shared" si="8"/>
        <v>11200.000000000002</v>
      </c>
      <c r="S48" s="21">
        <f>R48*D23*P48/1000+R48*(1-D23)*D24/1000</f>
        <v>1299.035619483577</v>
      </c>
      <c r="T48" s="64">
        <v>10</v>
      </c>
      <c r="U48" s="66">
        <f t="shared" si="3"/>
        <v>19432.28223977318</v>
      </c>
      <c r="V48" s="66">
        <f>(V47+(D71+D72))</f>
        <v>13992.000000000002</v>
      </c>
    </row>
    <row r="49" spans="1:22" ht="15.75" x14ac:dyDescent="0.25">
      <c r="A49" s="24">
        <v>11</v>
      </c>
      <c r="B49" s="33">
        <f>(1+D10)*B48</f>
        <v>117.14517639985824</v>
      </c>
      <c r="C49" s="24">
        <v>0</v>
      </c>
      <c r="D49" s="33">
        <f>(D13/1000*B49)+C49</f>
        <v>1874.3228223977319</v>
      </c>
      <c r="E49" s="117" t="str">
        <f t="shared" si="9"/>
        <v/>
      </c>
      <c r="F49" s="118" t="str">
        <f t="shared" si="4"/>
        <v/>
      </c>
      <c r="G49" s="318" t="str">
        <f t="shared" si="5"/>
        <v/>
      </c>
      <c r="H49" s="318" t="str">
        <f>IFERROR(ROUND(IF(E49="","",($H$38-SUM($F$38:F49))),2),"")</f>
        <v/>
      </c>
      <c r="I49" s="119"/>
      <c r="J49" s="120">
        <f>D25</f>
        <v>150</v>
      </c>
      <c r="K49" s="121">
        <f t="shared" si="6"/>
        <v>150</v>
      </c>
      <c r="L49" s="68">
        <f t="shared" si="7"/>
        <v>1162.0259756784126</v>
      </c>
      <c r="M49" s="70">
        <f t="shared" si="1"/>
        <v>5863.6235435196422</v>
      </c>
      <c r="N49" s="125">
        <f>NPV(D22,L38:L49)</f>
        <v>5863.6235435196422</v>
      </c>
      <c r="O49" s="67">
        <f t="shared" si="0"/>
        <v>0</v>
      </c>
      <c r="P49" s="33">
        <f t="shared" si="2"/>
        <v>117.14517639985824</v>
      </c>
      <c r="Q49" s="33">
        <f t="shared" si="2"/>
        <v>0</v>
      </c>
      <c r="R49" s="43">
        <f t="shared" si="8"/>
        <v>11200.000000000002</v>
      </c>
      <c r="S49" s="21">
        <f>R49*D23*P49/1000+R49*(1-D23)*D24/1000</f>
        <v>1312.0259756784126</v>
      </c>
      <c r="T49" s="64">
        <v>11</v>
      </c>
      <c r="U49" s="66">
        <f t="shared" si="3"/>
        <v>21306.605062170911</v>
      </c>
      <c r="V49" s="66">
        <f>(V48+(D71+D72))</f>
        <v>15291.200000000003</v>
      </c>
    </row>
    <row r="50" spans="1:22" ht="15.75" x14ac:dyDescent="0.25">
      <c r="A50" s="24">
        <v>12</v>
      </c>
      <c r="B50" s="33">
        <f>(1+D10)*B49</f>
        <v>118.31662816385683</v>
      </c>
      <c r="C50" s="24">
        <v>0</v>
      </c>
      <c r="D50" s="33">
        <f>(D13/1000*B50)+C50</f>
        <v>1893.0660506217093</v>
      </c>
      <c r="E50" s="117" t="str">
        <f t="shared" si="9"/>
        <v/>
      </c>
      <c r="F50" s="118" t="str">
        <f t="shared" si="4"/>
        <v/>
      </c>
      <c r="G50" s="318" t="str">
        <f t="shared" si="5"/>
        <v/>
      </c>
      <c r="H50" s="318" t="str">
        <f>IFERROR(ROUND(IF(E50="","",($H$38-SUM($F$38:F50))),2),"")</f>
        <v/>
      </c>
      <c r="I50" s="119"/>
      <c r="J50" s="120">
        <f>D25</f>
        <v>150</v>
      </c>
      <c r="K50" s="121">
        <f t="shared" si="6"/>
        <v>150</v>
      </c>
      <c r="L50" s="68">
        <f t="shared" si="7"/>
        <v>1175.1462354351966</v>
      </c>
      <c r="M50" s="70">
        <f t="shared" si="1"/>
        <v>7038.7697789548383</v>
      </c>
      <c r="N50" s="125">
        <f>NPV(D22,L38:L50)</f>
        <v>7038.7697789548383</v>
      </c>
      <c r="O50" s="67">
        <f t="shared" si="0"/>
        <v>0</v>
      </c>
      <c r="P50" s="33">
        <f t="shared" si="2"/>
        <v>118.31662816385683</v>
      </c>
      <c r="Q50" s="33">
        <f t="shared" si="2"/>
        <v>0</v>
      </c>
      <c r="R50" s="43">
        <f t="shared" si="8"/>
        <v>11200.000000000002</v>
      </c>
      <c r="S50" s="21">
        <f>R50*D23*P50/1000+R50*(1-D23)*D24/1000</f>
        <v>1325.1462354351966</v>
      </c>
      <c r="T50" s="64">
        <v>12</v>
      </c>
      <c r="U50" s="66">
        <f t="shared" si="3"/>
        <v>23199.671112792621</v>
      </c>
      <c r="V50" s="66">
        <f>(V49+(D71+D72))</f>
        <v>16590.400000000001</v>
      </c>
    </row>
    <row r="51" spans="1:22" ht="15.75" x14ac:dyDescent="0.25">
      <c r="A51" s="24">
        <v>13</v>
      </c>
      <c r="B51" s="33">
        <f>(1+D10)*B50</f>
        <v>119.4997944454954</v>
      </c>
      <c r="C51" s="24">
        <v>0</v>
      </c>
      <c r="D51" s="33">
        <f>(D13/1000*B51)+C51</f>
        <v>1911.9967111279263</v>
      </c>
      <c r="E51" s="117" t="str">
        <f t="shared" si="9"/>
        <v/>
      </c>
      <c r="F51" s="118" t="str">
        <f t="shared" si="4"/>
        <v/>
      </c>
      <c r="G51" s="318" t="str">
        <f t="shared" si="5"/>
        <v/>
      </c>
      <c r="H51" s="318" t="str">
        <f>IFERROR(ROUND(IF(E51="","",($H$38-SUM($F$38:F51))),2),"")</f>
        <v/>
      </c>
      <c r="I51" s="119"/>
      <c r="J51" s="120">
        <f>D25</f>
        <v>150</v>
      </c>
      <c r="K51" s="121">
        <f t="shared" si="6"/>
        <v>150</v>
      </c>
      <c r="L51" s="68">
        <f t="shared" si="7"/>
        <v>1188.3976977895486</v>
      </c>
      <c r="M51" s="70">
        <f t="shared" si="1"/>
        <v>8227.1674767443874</v>
      </c>
      <c r="N51" s="125">
        <f>NPV(D22,L38:L51)</f>
        <v>8227.1674767443874</v>
      </c>
      <c r="O51" s="67">
        <f t="shared" si="0"/>
        <v>0</v>
      </c>
      <c r="P51" s="33">
        <f t="shared" si="2"/>
        <v>119.4997944454954</v>
      </c>
      <c r="Q51" s="33">
        <f t="shared" si="2"/>
        <v>0</v>
      </c>
      <c r="R51" s="43">
        <f t="shared" si="8"/>
        <v>11200.000000000002</v>
      </c>
      <c r="S51" s="21">
        <f>R51*D23*P51/1000+R51*(1-D23)*D24/1000</f>
        <v>1338.3976977895486</v>
      </c>
      <c r="T51" s="64">
        <v>13</v>
      </c>
      <c r="U51" s="66">
        <f t="shared" si="3"/>
        <v>25111.667823920547</v>
      </c>
      <c r="V51" s="66">
        <f>(V50+(D71+D72))</f>
        <v>17889.600000000002</v>
      </c>
    </row>
    <row r="52" spans="1:22" ht="15.75" x14ac:dyDescent="0.25">
      <c r="A52" s="24">
        <v>14</v>
      </c>
      <c r="B52" s="33">
        <f>(1+D10)*B51</f>
        <v>120.69479238995035</v>
      </c>
      <c r="C52" s="24">
        <v>0</v>
      </c>
      <c r="D52" s="33">
        <f>(D13/1000*B52)+C52</f>
        <v>1931.1166782392056</v>
      </c>
      <c r="E52" s="117" t="str">
        <f t="shared" si="9"/>
        <v/>
      </c>
      <c r="F52" s="118" t="str">
        <f t="shared" si="4"/>
        <v/>
      </c>
      <c r="G52" s="318" t="str">
        <f t="shared" si="5"/>
        <v/>
      </c>
      <c r="H52" s="318" t="str">
        <f>IFERROR(ROUND(IF(E52="","",($H$38-SUM($F$38:F52))),2),"")</f>
        <v/>
      </c>
      <c r="I52" s="119"/>
      <c r="J52" s="120">
        <f>D25</f>
        <v>150</v>
      </c>
      <c r="K52" s="121">
        <f t="shared" si="6"/>
        <v>150</v>
      </c>
      <c r="L52" s="68">
        <f t="shared" si="7"/>
        <v>1201.7816747674442</v>
      </c>
      <c r="M52" s="70">
        <f t="shared" si="1"/>
        <v>9428.9491515118316</v>
      </c>
      <c r="N52" s="125">
        <f>NPV(D22,L38:L52)</f>
        <v>9428.9491515118316</v>
      </c>
      <c r="O52" s="67">
        <f t="shared" si="0"/>
        <v>0</v>
      </c>
      <c r="P52" s="33">
        <f t="shared" si="2"/>
        <v>120.69479238995035</v>
      </c>
      <c r="Q52" s="33">
        <f t="shared" si="2"/>
        <v>0</v>
      </c>
      <c r="R52" s="43">
        <f t="shared" si="8"/>
        <v>11200.000000000002</v>
      </c>
      <c r="S52" s="21">
        <f>R52*D23*P52/1000+R52*(1-D23)*D24/1000</f>
        <v>1351.7816747674442</v>
      </c>
      <c r="T52" s="64">
        <v>14</v>
      </c>
      <c r="U52" s="66">
        <f t="shared" si="3"/>
        <v>27042.784502159753</v>
      </c>
      <c r="V52" s="66">
        <f>(V51+(D71+D72))</f>
        <v>19188.800000000003</v>
      </c>
    </row>
    <row r="53" spans="1:22" ht="15.75" x14ac:dyDescent="0.25">
      <c r="A53" s="24">
        <v>15</v>
      </c>
      <c r="B53" s="33">
        <f>(1+D10)*B52</f>
        <v>121.90174031384986</v>
      </c>
      <c r="C53" s="24">
        <v>0</v>
      </c>
      <c r="D53" s="33">
        <f>(D13/1000*B53)+C53</f>
        <v>1950.4278450215977</v>
      </c>
      <c r="E53" s="117" t="str">
        <f t="shared" si="9"/>
        <v/>
      </c>
      <c r="F53" s="118" t="str">
        <f t="shared" si="4"/>
        <v/>
      </c>
      <c r="G53" s="318" t="str">
        <f t="shared" si="5"/>
        <v/>
      </c>
      <c r="H53" s="318" t="str">
        <f>IFERROR(ROUND(IF(E53="","",($H$38-SUM($F$38:F53))),2),"")</f>
        <v/>
      </c>
      <c r="I53" s="119"/>
      <c r="J53" s="120">
        <f>D25</f>
        <v>150</v>
      </c>
      <c r="K53" s="121">
        <f t="shared" si="6"/>
        <v>150</v>
      </c>
      <c r="L53" s="68">
        <f t="shared" si="7"/>
        <v>1215.2994915151187</v>
      </c>
      <c r="M53" s="70">
        <f t="shared" si="1"/>
        <v>10644.248643026951</v>
      </c>
      <c r="N53" s="125">
        <f>NPV(D22,L38:L53)</f>
        <v>10644.248643026951</v>
      </c>
      <c r="O53" s="67">
        <f t="shared" si="0"/>
        <v>0</v>
      </c>
      <c r="P53" s="33">
        <f t="shared" si="2"/>
        <v>121.90174031384986</v>
      </c>
      <c r="Q53" s="33">
        <f t="shared" si="2"/>
        <v>0</v>
      </c>
      <c r="R53" s="43">
        <f t="shared" si="8"/>
        <v>11200.000000000002</v>
      </c>
      <c r="S53" s="21">
        <f>R53*D23*P53/1000+R53*(1-D23)*D24/1000</f>
        <v>1365.2994915151187</v>
      </c>
      <c r="T53" s="64">
        <v>15</v>
      </c>
      <c r="U53" s="66">
        <f t="shared" si="3"/>
        <v>28993.21234718135</v>
      </c>
      <c r="V53" s="66">
        <f>(V52+(D71+D72))</f>
        <v>20488.000000000004</v>
      </c>
    </row>
    <row r="54" spans="1:22" ht="15.75" x14ac:dyDescent="0.25">
      <c r="A54" s="24">
        <v>16</v>
      </c>
      <c r="B54" s="33">
        <f>(1+D10)*B53</f>
        <v>123.12075771698835</v>
      </c>
      <c r="C54" s="24">
        <v>0</v>
      </c>
      <c r="D54" s="33">
        <f>(D13/1000*B54)+C54</f>
        <v>1969.9321234718136</v>
      </c>
      <c r="E54" s="117" t="str">
        <f t="shared" si="9"/>
        <v/>
      </c>
      <c r="F54" s="118" t="str">
        <f t="shared" si="4"/>
        <v/>
      </c>
      <c r="G54" s="318" t="str">
        <f t="shared" si="5"/>
        <v/>
      </c>
      <c r="H54" s="318" t="str">
        <f>IFERROR(ROUND(IF(E54="","",($H$38-SUM($F$38:F54))),2),"")</f>
        <v/>
      </c>
      <c r="I54" s="119"/>
      <c r="J54" s="120">
        <f>D25</f>
        <v>150</v>
      </c>
      <c r="K54" s="121">
        <f t="shared" si="6"/>
        <v>150</v>
      </c>
      <c r="L54" s="68">
        <f t="shared" si="7"/>
        <v>1228.9524864302696</v>
      </c>
      <c r="M54" s="70">
        <f t="shared" si="1"/>
        <v>11873.20112945722</v>
      </c>
      <c r="N54" s="125">
        <f>NPV(D22,L38:L54)</f>
        <v>11873.20112945722</v>
      </c>
      <c r="O54" s="67">
        <f t="shared" si="0"/>
        <v>0</v>
      </c>
      <c r="P54" s="33">
        <f t="shared" si="2"/>
        <v>123.12075771698835</v>
      </c>
      <c r="Q54" s="33">
        <f t="shared" si="2"/>
        <v>0</v>
      </c>
      <c r="R54" s="43">
        <f t="shared" si="8"/>
        <v>11200.000000000002</v>
      </c>
      <c r="S54" s="21">
        <f>R54*D23*P54/1000+R54*(1-D23)*D24/1000</f>
        <v>1378.9524864302696</v>
      </c>
      <c r="T54" s="64">
        <v>16</v>
      </c>
      <c r="U54" s="66">
        <f t="shared" si="3"/>
        <v>30963.144470653162</v>
      </c>
      <c r="V54" s="66">
        <f>(V53+(D71+D72))</f>
        <v>21787.200000000004</v>
      </c>
    </row>
    <row r="55" spans="1:22" ht="15.75" x14ac:dyDescent="0.25">
      <c r="A55" s="24">
        <v>17</v>
      </c>
      <c r="B55" s="33">
        <f>(1+D10)*B54</f>
        <v>124.35196529415823</v>
      </c>
      <c r="C55" s="24">
        <v>0</v>
      </c>
      <c r="D55" s="33">
        <f>(D13/1000*B55)+C55</f>
        <v>1989.6314447065317</v>
      </c>
      <c r="E55" s="117" t="str">
        <f t="shared" si="9"/>
        <v/>
      </c>
      <c r="F55" s="118" t="str">
        <f t="shared" si="4"/>
        <v/>
      </c>
      <c r="G55" s="318" t="str">
        <f t="shared" si="5"/>
        <v/>
      </c>
      <c r="H55" s="318" t="str">
        <f>IFERROR(ROUND(IF(E55="","",($H$38-SUM($F$38:F55))),2),"")</f>
        <v/>
      </c>
      <c r="I55" s="119"/>
      <c r="J55" s="120">
        <f>D25</f>
        <v>150</v>
      </c>
      <c r="K55" s="121">
        <f t="shared" si="6"/>
        <v>150</v>
      </c>
      <c r="L55" s="68">
        <f t="shared" si="7"/>
        <v>1242.7420112945724</v>
      </c>
      <c r="M55" s="70">
        <f t="shared" si="1"/>
        <v>13115.943140751793</v>
      </c>
      <c r="N55" s="125">
        <f>NPV(D22,L38:L55)</f>
        <v>13115.943140751793</v>
      </c>
      <c r="O55" s="67">
        <f t="shared" si="0"/>
        <v>0</v>
      </c>
      <c r="P55" s="33">
        <f t="shared" ref="P55:Q56" si="10">(1+$D$10)*P54</f>
        <v>124.35196529415823</v>
      </c>
      <c r="Q55" s="33">
        <f t="shared" si="10"/>
        <v>0</v>
      </c>
      <c r="R55" s="43">
        <f t="shared" si="8"/>
        <v>11200.000000000002</v>
      </c>
      <c r="S55" s="21">
        <f>R55*D23*P55/1000+R55*(1-D23)*D24/1000</f>
        <v>1392.7420112945724</v>
      </c>
      <c r="T55" s="64">
        <v>17</v>
      </c>
      <c r="U55" s="66">
        <f t="shared" si="3"/>
        <v>32952.775915359693</v>
      </c>
      <c r="V55" s="66">
        <f>(V54+(D71+D72))</f>
        <v>23086.400000000005</v>
      </c>
    </row>
    <row r="56" spans="1:22" ht="15.75" x14ac:dyDescent="0.25">
      <c r="A56" s="24">
        <v>18</v>
      </c>
      <c r="B56" s="33">
        <f>(1+D10)*B55</f>
        <v>125.59548494709982</v>
      </c>
      <c r="C56" s="24">
        <v>0</v>
      </c>
      <c r="D56" s="33">
        <f>(D13/1000*B56)+C56</f>
        <v>2009.5277591535971</v>
      </c>
      <c r="E56" s="117" t="str">
        <f t="shared" si="9"/>
        <v/>
      </c>
      <c r="F56" s="118" t="str">
        <f t="shared" si="4"/>
        <v/>
      </c>
      <c r="G56" s="318" t="str">
        <f t="shared" si="5"/>
        <v/>
      </c>
      <c r="H56" s="318" t="str">
        <f>IFERROR(ROUND(IF(E56="","",($H$38-SUM($F$38:F56))),2),"")</f>
        <v/>
      </c>
      <c r="I56" s="126"/>
      <c r="J56" s="127">
        <f>D25</f>
        <v>150</v>
      </c>
      <c r="K56" s="121">
        <f t="shared" si="6"/>
        <v>150</v>
      </c>
      <c r="L56" s="68">
        <f t="shared" si="7"/>
        <v>1256.6694314075182</v>
      </c>
      <c r="M56" s="70">
        <f t="shared" si="1"/>
        <v>14372.612572159311</v>
      </c>
      <c r="N56" s="125">
        <f>NPV(D22,L38:L56)</f>
        <v>14372.612572159311</v>
      </c>
      <c r="O56" s="67">
        <f t="shared" si="0"/>
        <v>0</v>
      </c>
      <c r="P56" s="33">
        <f t="shared" si="10"/>
        <v>125.59548494709982</v>
      </c>
      <c r="Q56" s="33">
        <f t="shared" si="10"/>
        <v>0</v>
      </c>
      <c r="R56" s="43">
        <f t="shared" si="8"/>
        <v>11200.000000000002</v>
      </c>
      <c r="S56" s="21">
        <f>R56*D23*P56/1000+R56*(1-D23)*D24/1000</f>
        <v>1406.6694314075182</v>
      </c>
      <c r="T56" s="64">
        <v>18</v>
      </c>
      <c r="U56" s="66">
        <f t="shared" si="3"/>
        <v>34962.303674513292</v>
      </c>
      <c r="V56" s="66">
        <f>(V55+(D71+D72))</f>
        <v>24385.600000000006</v>
      </c>
    </row>
    <row r="57" spans="1:22" ht="15.75" x14ac:dyDescent="0.25">
      <c r="A57" s="24">
        <v>19</v>
      </c>
      <c r="B57" s="33">
        <f>(1+D10)*B56</f>
        <v>126.85143979657082</v>
      </c>
      <c r="C57" s="24">
        <v>0</v>
      </c>
      <c r="D57" s="33">
        <f>(D13/1000*B57)+C57</f>
        <v>2029.623036745133</v>
      </c>
      <c r="E57" s="117" t="str">
        <f t="shared" si="9"/>
        <v/>
      </c>
      <c r="F57" s="118" t="str">
        <f t="shared" si="4"/>
        <v/>
      </c>
      <c r="G57" s="318" t="str">
        <f t="shared" si="5"/>
        <v/>
      </c>
      <c r="H57" s="318" t="str">
        <f>IFERROR(ROUND(IF(E57="","",($H$38-SUM($F$38:F57))),2),"")</f>
        <v/>
      </c>
      <c r="I57" s="126"/>
      <c r="J57" s="127">
        <f>D25</f>
        <v>150</v>
      </c>
      <c r="K57" s="121">
        <f t="shared" si="6"/>
        <v>150</v>
      </c>
      <c r="L57" s="68">
        <f t="shared" si="7"/>
        <v>1270.7361257215935</v>
      </c>
      <c r="M57" s="70">
        <f>M56+$L57</f>
        <v>15643.348697880905</v>
      </c>
      <c r="N57" s="125">
        <f>NPV(D22,L38:L57)</f>
        <v>15643.348697880905</v>
      </c>
      <c r="O57" s="67">
        <f t="shared" si="0"/>
        <v>0</v>
      </c>
      <c r="P57" s="33">
        <f>(1+$D$10)*P56</f>
        <v>126.85143979657082</v>
      </c>
      <c r="Q57" s="33">
        <f>(1+$D$10)*Q56</f>
        <v>0</v>
      </c>
      <c r="R57" s="43">
        <f t="shared" si="8"/>
        <v>11200.000000000002</v>
      </c>
      <c r="S57" s="21">
        <f>R57*$D$23*P57/1000+R57*(1-$D$23)*$D$24/1000</f>
        <v>1420.7361257215935</v>
      </c>
      <c r="T57" s="64">
        <v>19</v>
      </c>
      <c r="U57" s="66">
        <f t="shared" si="3"/>
        <v>36991.926711258428</v>
      </c>
      <c r="V57" s="66">
        <f>(V56+($D$71+$D$72))</f>
        <v>25684.800000000007</v>
      </c>
    </row>
    <row r="58" spans="1:22" ht="15.75" x14ac:dyDescent="0.25">
      <c r="A58" s="24">
        <v>20</v>
      </c>
      <c r="B58" s="33">
        <f>(1+D10)*B57</f>
        <v>128.11995419453652</v>
      </c>
      <c r="C58" s="24">
        <v>0</v>
      </c>
      <c r="D58" s="33">
        <f>(D13/1000*B58)+C58</f>
        <v>2049.9192671125843</v>
      </c>
      <c r="E58" s="117" t="str">
        <f t="shared" si="9"/>
        <v/>
      </c>
      <c r="F58" s="118" t="str">
        <f t="shared" si="4"/>
        <v/>
      </c>
      <c r="G58" s="318" t="str">
        <f t="shared" si="5"/>
        <v/>
      </c>
      <c r="H58" s="318" t="str">
        <f>IFERROR(ROUND(IF(E58="","",($H$38-SUM($F$38:F58))),2),"")</f>
        <v/>
      </c>
      <c r="I58" s="126"/>
      <c r="J58" s="127">
        <f>D25</f>
        <v>150</v>
      </c>
      <c r="K58" s="121">
        <f t="shared" si="6"/>
        <v>150</v>
      </c>
      <c r="L58" s="68">
        <f t="shared" si="7"/>
        <v>1284.9434869788095</v>
      </c>
      <c r="M58" s="70">
        <f>M57+$L58</f>
        <v>16928.292184859714</v>
      </c>
      <c r="N58" s="125">
        <f>NPV(D22,L38:L58)</f>
        <v>16928.292184859714</v>
      </c>
      <c r="O58" s="67">
        <f t="shared" si="0"/>
        <v>0</v>
      </c>
      <c r="P58" s="33">
        <f>(1+$D$10)*P57</f>
        <v>128.11995419453652</v>
      </c>
      <c r="Q58" s="33">
        <f>(1+$D$10)*Q57</f>
        <v>0</v>
      </c>
      <c r="R58" s="43">
        <f t="shared" si="8"/>
        <v>11200.000000000002</v>
      </c>
      <c r="S58" s="21">
        <f>R58*$D$23*P58/1000+R58*(1-$D$23)*$D$24/1000</f>
        <v>1434.9434869788095</v>
      </c>
      <c r="T58" s="64">
        <v>20</v>
      </c>
      <c r="U58" s="66">
        <f t="shared" si="3"/>
        <v>39041.845978371013</v>
      </c>
      <c r="V58" s="66">
        <f>(V57+($D$71+$D$72))</f>
        <v>26984.000000000007</v>
      </c>
    </row>
    <row r="59" spans="1:22" ht="15.75" x14ac:dyDescent="0.25">
      <c r="A59" s="12"/>
      <c r="B59" s="12"/>
      <c r="C59" s="12"/>
      <c r="D59" s="128">
        <f>SUM(D38:D58)</f>
        <v>39041.845978371013</v>
      </c>
      <c r="E59" s="129"/>
      <c r="F59" s="130" t="s">
        <v>4</v>
      </c>
      <c r="G59" s="56">
        <f>SUM(G38:G58)</f>
        <v>225</v>
      </c>
      <c r="H59" s="130"/>
      <c r="I59" s="130"/>
      <c r="J59" s="56">
        <f>SUM(J38:J58)</f>
        <v>3000</v>
      </c>
      <c r="K59" s="56">
        <f>SUM(K38:K58)</f>
        <v>9225</v>
      </c>
      <c r="L59" s="131"/>
      <c r="M59" s="34"/>
      <c r="O59" s="35">
        <f>SUM(O38:O58)</f>
        <v>5</v>
      </c>
      <c r="P59" s="36">
        <f>AVERAGE(P38:P58)</f>
        <v>116.19597017372325</v>
      </c>
      <c r="Q59" s="36">
        <f>AVERAGE(Q38:Q58)</f>
        <v>0</v>
      </c>
      <c r="R59" s="37">
        <f>SUM(R38:R58)</f>
        <v>235200.00000000003</v>
      </c>
      <c r="S59" s="132">
        <f>NPV(S22,S38:S58)</f>
        <v>26153.292184859711</v>
      </c>
    </row>
    <row r="60" spans="1:22" ht="15.6" customHeight="1" x14ac:dyDescent="0.25">
      <c r="A60" s="8"/>
    </row>
    <row r="61" spans="1:22" ht="15.6" customHeight="1" x14ac:dyDescent="0.25">
      <c r="A61" s="8"/>
    </row>
    <row r="62" spans="1:22" ht="15.6" customHeight="1" x14ac:dyDescent="0.25">
      <c r="A62" s="8"/>
    </row>
    <row r="63" spans="1:22" ht="15.75" x14ac:dyDescent="0.25">
      <c r="A63" s="22" t="s">
        <v>76</v>
      </c>
      <c r="B63" s="12"/>
      <c r="C63" s="12"/>
      <c r="D63" s="12"/>
    </row>
    <row r="64" spans="1:22" ht="15.75" x14ac:dyDescent="0.25">
      <c r="A64" s="365" t="s">
        <v>77</v>
      </c>
      <c r="B64" s="366"/>
      <c r="C64" s="367"/>
      <c r="D64" s="19">
        <f>G105</f>
        <v>11200.000000000002</v>
      </c>
      <c r="E64" s="100" t="s">
        <v>27</v>
      </c>
      <c r="F64" s="100" t="s">
        <v>4</v>
      </c>
    </row>
    <row r="65" spans="1:6" ht="15.75" x14ac:dyDescent="0.25">
      <c r="A65" s="368" t="s">
        <v>78</v>
      </c>
      <c r="B65" s="369"/>
      <c r="C65" s="370"/>
      <c r="D65" s="98">
        <v>1</v>
      </c>
      <c r="F65" s="100" t="s">
        <v>79</v>
      </c>
    </row>
    <row r="66" spans="1:6" ht="15.75" x14ac:dyDescent="0.25">
      <c r="A66" s="365" t="s">
        <v>80</v>
      </c>
      <c r="B66" s="366"/>
      <c r="C66" s="367"/>
      <c r="D66" s="23">
        <f>(H105/G105)</f>
        <v>0</v>
      </c>
    </row>
    <row r="67" spans="1:6" ht="15.75" x14ac:dyDescent="0.25">
      <c r="A67" s="371" t="s">
        <v>81</v>
      </c>
      <c r="B67" s="372"/>
      <c r="C67" s="373"/>
      <c r="D67" s="282">
        <f>C105</f>
        <v>16000.000000000002</v>
      </c>
      <c r="E67" s="100" t="s">
        <v>82</v>
      </c>
    </row>
    <row r="68" spans="1:6" ht="15.75" x14ac:dyDescent="0.25">
      <c r="A68" s="368" t="s">
        <v>84</v>
      </c>
      <c r="B68" s="338"/>
      <c r="C68" s="339"/>
      <c r="D68" s="283">
        <v>20</v>
      </c>
      <c r="E68" s="100" t="s">
        <v>85</v>
      </c>
      <c r="F68" s="100" t="s">
        <v>4</v>
      </c>
    </row>
    <row r="69" spans="1:6" ht="15.75" x14ac:dyDescent="0.25">
      <c r="A69" s="368" t="s">
        <v>86</v>
      </c>
      <c r="B69" s="338"/>
      <c r="C69" s="339"/>
      <c r="D69" s="284">
        <f>I105/C105</f>
        <v>0.70000000000000007</v>
      </c>
      <c r="E69" s="100" t="s">
        <v>4</v>
      </c>
      <c r="F69" s="100" t="s">
        <v>4</v>
      </c>
    </row>
    <row r="70" spans="1:6" ht="15.75" x14ac:dyDescent="0.25">
      <c r="A70" s="374" t="s">
        <v>230</v>
      </c>
      <c r="B70" s="350"/>
      <c r="C70" s="358"/>
      <c r="D70" s="290">
        <f>D19-IF(D19*D20&gt;4000,4000,D19*D20)-D21</f>
        <v>6000</v>
      </c>
      <c r="F70" s="100" t="s">
        <v>233</v>
      </c>
    </row>
    <row r="71" spans="1:6" ht="15.75" x14ac:dyDescent="0.25">
      <c r="A71" s="375" t="s">
        <v>121</v>
      </c>
      <c r="B71" s="375"/>
      <c r="C71" s="375"/>
      <c r="D71" s="65">
        <f>(M105)*D28/100</f>
        <v>627.20000000000016</v>
      </c>
    </row>
    <row r="72" spans="1:6" ht="15.75" x14ac:dyDescent="0.25">
      <c r="A72" s="380" t="s">
        <v>140</v>
      </c>
      <c r="B72" s="381"/>
      <c r="C72" s="382"/>
      <c r="D72" s="108">
        <f>(L105)*D28/100</f>
        <v>671.99999999999989</v>
      </c>
    </row>
    <row r="73" spans="1:6" ht="15.75" x14ac:dyDescent="0.25">
      <c r="A73" s="376" t="s">
        <v>108</v>
      </c>
      <c r="B73" s="376"/>
      <c r="C73" s="376"/>
      <c r="D73" s="45">
        <f>L105*D68</f>
        <v>95999.999999999985</v>
      </c>
      <c r="E73" s="100" t="s">
        <v>27</v>
      </c>
    </row>
    <row r="74" spans="1:6" ht="15.75" x14ac:dyDescent="0.25">
      <c r="A74" s="376" t="s">
        <v>87</v>
      </c>
      <c r="B74" s="376"/>
      <c r="C74" s="376"/>
      <c r="D74" s="285">
        <f>(M105*D68)</f>
        <v>89600.000000000015</v>
      </c>
      <c r="E74" s="100" t="s">
        <v>27</v>
      </c>
      <c r="F74" s="100" t="s">
        <v>4</v>
      </c>
    </row>
    <row r="75" spans="1:6" x14ac:dyDescent="0.25">
      <c r="E75" s="100" t="s">
        <v>4</v>
      </c>
    </row>
    <row r="76" spans="1:6" ht="16.5" thickBot="1" x14ac:dyDescent="0.3">
      <c r="A76" s="25" t="s">
        <v>88</v>
      </c>
      <c r="B76" s="12"/>
      <c r="C76" s="12"/>
      <c r="D76" s="12"/>
      <c r="E76" s="100" t="s">
        <v>4</v>
      </c>
      <c r="F76" s="100" t="s">
        <v>4</v>
      </c>
    </row>
    <row r="77" spans="1:6" ht="15.75" x14ac:dyDescent="0.25">
      <c r="A77" s="377" t="s">
        <v>89</v>
      </c>
      <c r="B77" s="378"/>
      <c r="C77" s="379"/>
      <c r="D77" s="26">
        <f>N58</f>
        <v>16928.292184859714</v>
      </c>
    </row>
    <row r="78" spans="1:6" ht="15.75" x14ac:dyDescent="0.25">
      <c r="A78" s="364" t="s">
        <v>90</v>
      </c>
      <c r="B78" s="338"/>
      <c r="C78" s="339"/>
      <c r="D78" s="27">
        <f>O59</f>
        <v>5</v>
      </c>
    </row>
    <row r="79" spans="1:6" ht="15.75" x14ac:dyDescent="0.25">
      <c r="A79" s="364" t="s">
        <v>107</v>
      </c>
      <c r="B79" s="338"/>
      <c r="C79" s="339"/>
      <c r="D79" s="28">
        <f>D70/J105</f>
        <v>5.1020408163265305</v>
      </c>
    </row>
    <row r="80" spans="1:6" ht="15.75" x14ac:dyDescent="0.25">
      <c r="A80" s="364" t="s">
        <v>38</v>
      </c>
      <c r="B80" s="385"/>
      <c r="C80" s="386"/>
      <c r="D80" s="29">
        <f>IRR(L38:L58,0.1)</f>
        <v>0.30116198654868609</v>
      </c>
      <c r="E80" s="100" t="s">
        <v>4</v>
      </c>
      <c r="F80" s="100" t="s">
        <v>4</v>
      </c>
    </row>
    <row r="81" spans="1:13" ht="16.5" thickBot="1" x14ac:dyDescent="0.3">
      <c r="A81" s="387" t="s">
        <v>152</v>
      </c>
      <c r="B81" s="388"/>
      <c r="C81" s="389"/>
      <c r="D81" s="30">
        <f>K59/R59*1000</f>
        <v>39.221938775510203</v>
      </c>
      <c r="E81" s="100" t="s">
        <v>47</v>
      </c>
    </row>
    <row r="83" spans="1:13" x14ac:dyDescent="0.25">
      <c r="A83" s="31" t="s">
        <v>91</v>
      </c>
    </row>
    <row r="84" spans="1:13" ht="15.75" x14ac:dyDescent="0.25">
      <c r="A84" s="390" t="s">
        <v>92</v>
      </c>
      <c r="B84" s="390"/>
      <c r="C84" s="390"/>
      <c r="D84" s="286">
        <v>84</v>
      </c>
      <c r="E84" s="100" t="s">
        <v>93</v>
      </c>
      <c r="F84" s="100" t="s">
        <v>4</v>
      </c>
      <c r="G84" s="100" t="s">
        <v>6</v>
      </c>
      <c r="H84" s="100">
        <v>2024</v>
      </c>
      <c r="I84" s="10" t="s">
        <v>274</v>
      </c>
    </row>
    <row r="85" spans="1:13" ht="15.75" x14ac:dyDescent="0.25">
      <c r="A85" s="390" t="s">
        <v>95</v>
      </c>
      <c r="B85" s="390"/>
      <c r="C85" s="390"/>
      <c r="D85" s="286">
        <v>106</v>
      </c>
      <c r="E85" s="100" t="s">
        <v>93</v>
      </c>
      <c r="G85" s="100" t="s">
        <v>261</v>
      </c>
      <c r="H85" s="100">
        <v>2024</v>
      </c>
      <c r="I85" s="10" t="s">
        <v>274</v>
      </c>
    </row>
    <row r="86" spans="1:13" ht="15.75" x14ac:dyDescent="0.25">
      <c r="A86" s="390" t="s">
        <v>96</v>
      </c>
      <c r="B86" s="390"/>
      <c r="C86" s="390"/>
      <c r="D86" s="287">
        <v>261.72000000000003</v>
      </c>
      <c r="E86" s="100" t="s">
        <v>93</v>
      </c>
      <c r="G86" s="100" t="s">
        <v>6</v>
      </c>
      <c r="H86" s="100">
        <v>2019</v>
      </c>
      <c r="I86" s="10" t="s">
        <v>94</v>
      </c>
    </row>
    <row r="87" spans="1:13" ht="15.75" x14ac:dyDescent="0.25">
      <c r="A87" s="390" t="s">
        <v>97</v>
      </c>
      <c r="B87" s="390"/>
      <c r="C87" s="390"/>
      <c r="D87" s="288">
        <f>(G105*D86)/1000</f>
        <v>2931.264000000001</v>
      </c>
      <c r="E87" s="100" t="s">
        <v>98</v>
      </c>
      <c r="F87" s="100" t="s">
        <v>4</v>
      </c>
    </row>
    <row r="88" spans="1:13" ht="15.75" x14ac:dyDescent="0.25">
      <c r="A88" s="390" t="s">
        <v>120</v>
      </c>
      <c r="B88" s="390"/>
      <c r="C88" s="390"/>
      <c r="D88" s="288">
        <f>(G105*D86)/1000-(M105*D84)/1000</f>
        <v>2554.9440000000009</v>
      </c>
      <c r="E88" s="100" t="s">
        <v>98</v>
      </c>
      <c r="G88" s="252" t="s">
        <v>275</v>
      </c>
      <c r="H88" s="252"/>
      <c r="I88" s="10" t="s">
        <v>276</v>
      </c>
    </row>
    <row r="89" spans="1:13" x14ac:dyDescent="0.25">
      <c r="A89" s="57"/>
      <c r="B89" s="57"/>
      <c r="C89" s="57"/>
      <c r="D89" s="57"/>
    </row>
    <row r="90" spans="1:13" x14ac:dyDescent="0.25">
      <c r="A90" s="8" t="s">
        <v>50</v>
      </c>
    </row>
    <row r="91" spans="1:13" x14ac:dyDescent="0.25">
      <c r="A91" s="9" t="s">
        <v>51</v>
      </c>
    </row>
    <row r="92" spans="1:13" ht="105" x14ac:dyDescent="0.25">
      <c r="A92" s="12"/>
      <c r="B92" s="12"/>
      <c r="C92" s="134" t="s">
        <v>52</v>
      </c>
      <c r="D92" s="13" t="s">
        <v>53</v>
      </c>
      <c r="E92" s="13" t="s">
        <v>54</v>
      </c>
      <c r="G92" s="13" t="s">
        <v>55</v>
      </c>
      <c r="H92" s="13" t="s">
        <v>56</v>
      </c>
      <c r="I92" s="13" t="s">
        <v>57</v>
      </c>
      <c r="J92" s="13" t="s">
        <v>58</v>
      </c>
      <c r="K92" s="13" t="s">
        <v>59</v>
      </c>
      <c r="L92" s="14" t="s">
        <v>60</v>
      </c>
      <c r="M92" s="15" t="s">
        <v>61</v>
      </c>
    </row>
    <row r="93" spans="1:13" ht="15.75" x14ac:dyDescent="0.25">
      <c r="A93" s="383" t="s">
        <v>62</v>
      </c>
      <c r="B93" s="384"/>
      <c r="C93" s="135">
        <f>$D$13/12</f>
        <v>1333.3333333333333</v>
      </c>
      <c r="D93" s="133">
        <f t="shared" ref="D93:D104" si="11">$D$106</f>
        <v>105</v>
      </c>
      <c r="E93" s="63">
        <f t="shared" ref="E93:E104" si="12">$D$24</f>
        <v>0</v>
      </c>
      <c r="G93" s="17">
        <f>(D26/12)</f>
        <v>933.33333333333337</v>
      </c>
      <c r="H93" s="18">
        <f t="shared" ref="H93:H104" si="13">IF(G93-C93&lt;0,0,G93-C93)</f>
        <v>0</v>
      </c>
      <c r="I93" s="19">
        <f t="shared" ref="I93:I104" si="14">G93-H93</f>
        <v>933.33333333333337</v>
      </c>
      <c r="J93" s="18">
        <f t="shared" ref="J93:J104" si="15">I93/1000*D93</f>
        <v>98</v>
      </c>
      <c r="K93" s="18">
        <f t="shared" ref="K93:K104" si="16">E93*H93/100</f>
        <v>0</v>
      </c>
      <c r="L93" s="43">
        <f t="shared" ref="L93:L104" si="17">C93-I93</f>
        <v>399.99999999999989</v>
      </c>
      <c r="M93" s="55">
        <f>(G93/D18)</f>
        <v>373.33333333333337</v>
      </c>
    </row>
    <row r="94" spans="1:13" ht="15.75" x14ac:dyDescent="0.25">
      <c r="A94" s="383" t="s">
        <v>63</v>
      </c>
      <c r="B94" s="384"/>
      <c r="C94" s="135">
        <f t="shared" ref="C94:C104" si="18">$D$13/12</f>
        <v>1333.3333333333333</v>
      </c>
      <c r="D94" s="133">
        <f t="shared" si="11"/>
        <v>105</v>
      </c>
      <c r="E94" s="63">
        <f t="shared" si="12"/>
        <v>0</v>
      </c>
      <c r="G94" s="17">
        <f>(D26/12)</f>
        <v>933.33333333333337</v>
      </c>
      <c r="H94" s="18">
        <f t="shared" si="13"/>
        <v>0</v>
      </c>
      <c r="I94" s="19">
        <f t="shared" si="14"/>
        <v>933.33333333333337</v>
      </c>
      <c r="J94" s="18">
        <f t="shared" si="15"/>
        <v>98</v>
      </c>
      <c r="K94" s="18">
        <f t="shared" si="16"/>
        <v>0</v>
      </c>
      <c r="L94" s="43">
        <f t="shared" si="17"/>
        <v>399.99999999999989</v>
      </c>
      <c r="M94" s="55">
        <f>(G94/D18)</f>
        <v>373.33333333333337</v>
      </c>
    </row>
    <row r="95" spans="1:13" ht="15.75" x14ac:dyDescent="0.25">
      <c r="A95" s="383" t="s">
        <v>64</v>
      </c>
      <c r="B95" s="384"/>
      <c r="C95" s="135">
        <f t="shared" si="18"/>
        <v>1333.3333333333333</v>
      </c>
      <c r="D95" s="133">
        <f t="shared" si="11"/>
        <v>105</v>
      </c>
      <c r="E95" s="63">
        <f t="shared" si="12"/>
        <v>0</v>
      </c>
      <c r="G95" s="17">
        <f>(D26/12)</f>
        <v>933.33333333333337</v>
      </c>
      <c r="H95" s="18">
        <f t="shared" si="13"/>
        <v>0</v>
      </c>
      <c r="I95" s="19">
        <f t="shared" si="14"/>
        <v>933.33333333333337</v>
      </c>
      <c r="J95" s="18">
        <f t="shared" si="15"/>
        <v>98</v>
      </c>
      <c r="K95" s="18">
        <f t="shared" si="16"/>
        <v>0</v>
      </c>
      <c r="L95" s="43">
        <f t="shared" si="17"/>
        <v>399.99999999999989</v>
      </c>
      <c r="M95" s="55">
        <f>(G95/D18)</f>
        <v>373.33333333333337</v>
      </c>
    </row>
    <row r="96" spans="1:13" ht="15.75" x14ac:dyDescent="0.25">
      <c r="A96" s="383" t="s">
        <v>65</v>
      </c>
      <c r="B96" s="384"/>
      <c r="C96" s="135">
        <f t="shared" si="18"/>
        <v>1333.3333333333333</v>
      </c>
      <c r="D96" s="133">
        <f t="shared" si="11"/>
        <v>105</v>
      </c>
      <c r="E96" s="63">
        <f t="shared" si="12"/>
        <v>0</v>
      </c>
      <c r="G96" s="17">
        <f>(D26/12)</f>
        <v>933.33333333333337</v>
      </c>
      <c r="H96" s="18">
        <f t="shared" si="13"/>
        <v>0</v>
      </c>
      <c r="I96" s="19">
        <f t="shared" si="14"/>
        <v>933.33333333333337</v>
      </c>
      <c r="J96" s="18">
        <f t="shared" si="15"/>
        <v>98</v>
      </c>
      <c r="K96" s="18">
        <f t="shared" si="16"/>
        <v>0</v>
      </c>
      <c r="L96" s="43">
        <f t="shared" si="17"/>
        <v>399.99999999999989</v>
      </c>
      <c r="M96" s="55">
        <f>(G96/D18)</f>
        <v>373.33333333333337</v>
      </c>
    </row>
    <row r="97" spans="1:13" ht="15.75" x14ac:dyDescent="0.25">
      <c r="A97" s="383" t="s">
        <v>66</v>
      </c>
      <c r="B97" s="384"/>
      <c r="C97" s="135">
        <f t="shared" si="18"/>
        <v>1333.3333333333333</v>
      </c>
      <c r="D97" s="133">
        <f t="shared" si="11"/>
        <v>105</v>
      </c>
      <c r="E97" s="63">
        <f t="shared" si="12"/>
        <v>0</v>
      </c>
      <c r="G97" s="17">
        <f>(D26/12)</f>
        <v>933.33333333333337</v>
      </c>
      <c r="H97" s="18">
        <f t="shared" si="13"/>
        <v>0</v>
      </c>
      <c r="I97" s="19">
        <f t="shared" si="14"/>
        <v>933.33333333333337</v>
      </c>
      <c r="J97" s="18">
        <f t="shared" si="15"/>
        <v>98</v>
      </c>
      <c r="K97" s="18">
        <f t="shared" si="16"/>
        <v>0</v>
      </c>
      <c r="L97" s="43">
        <f t="shared" si="17"/>
        <v>399.99999999999989</v>
      </c>
      <c r="M97" s="55">
        <f>(G97/D18)</f>
        <v>373.33333333333337</v>
      </c>
    </row>
    <row r="98" spans="1:13" ht="15.75" x14ac:dyDescent="0.25">
      <c r="A98" s="383" t="s">
        <v>67</v>
      </c>
      <c r="B98" s="384"/>
      <c r="C98" s="135">
        <f t="shared" si="18"/>
        <v>1333.3333333333333</v>
      </c>
      <c r="D98" s="133">
        <f t="shared" si="11"/>
        <v>105</v>
      </c>
      <c r="E98" s="63">
        <f t="shared" si="12"/>
        <v>0</v>
      </c>
      <c r="G98" s="17">
        <f>(D26/12)</f>
        <v>933.33333333333337</v>
      </c>
      <c r="H98" s="18">
        <f t="shared" si="13"/>
        <v>0</v>
      </c>
      <c r="I98" s="19">
        <f t="shared" si="14"/>
        <v>933.33333333333337</v>
      </c>
      <c r="J98" s="18">
        <f t="shared" si="15"/>
        <v>98</v>
      </c>
      <c r="K98" s="18">
        <f t="shared" si="16"/>
        <v>0</v>
      </c>
      <c r="L98" s="43">
        <f t="shared" si="17"/>
        <v>399.99999999999989</v>
      </c>
      <c r="M98" s="55">
        <f>(G98/D18)</f>
        <v>373.33333333333337</v>
      </c>
    </row>
    <row r="99" spans="1:13" ht="15.75" x14ac:dyDescent="0.25">
      <c r="A99" s="383" t="s">
        <v>68</v>
      </c>
      <c r="B99" s="384"/>
      <c r="C99" s="135">
        <f t="shared" si="18"/>
        <v>1333.3333333333333</v>
      </c>
      <c r="D99" s="133">
        <f t="shared" si="11"/>
        <v>105</v>
      </c>
      <c r="E99" s="63">
        <f t="shared" si="12"/>
        <v>0</v>
      </c>
      <c r="G99" s="17">
        <f>(D26/12)</f>
        <v>933.33333333333337</v>
      </c>
      <c r="H99" s="18">
        <f t="shared" si="13"/>
        <v>0</v>
      </c>
      <c r="I99" s="19">
        <f t="shared" si="14"/>
        <v>933.33333333333337</v>
      </c>
      <c r="J99" s="18">
        <f t="shared" si="15"/>
        <v>98</v>
      </c>
      <c r="K99" s="18">
        <f t="shared" si="16"/>
        <v>0</v>
      </c>
      <c r="L99" s="43">
        <f t="shared" si="17"/>
        <v>399.99999999999989</v>
      </c>
      <c r="M99" s="55">
        <f>(G99/D18)</f>
        <v>373.33333333333337</v>
      </c>
    </row>
    <row r="100" spans="1:13" ht="15.75" x14ac:dyDescent="0.25">
      <c r="A100" s="383" t="s">
        <v>69</v>
      </c>
      <c r="B100" s="384"/>
      <c r="C100" s="135">
        <f t="shared" si="18"/>
        <v>1333.3333333333333</v>
      </c>
      <c r="D100" s="133">
        <f t="shared" si="11"/>
        <v>105</v>
      </c>
      <c r="E100" s="63">
        <f t="shared" si="12"/>
        <v>0</v>
      </c>
      <c r="G100" s="17">
        <f>(D26/12)</f>
        <v>933.33333333333337</v>
      </c>
      <c r="H100" s="18">
        <f t="shared" si="13"/>
        <v>0</v>
      </c>
      <c r="I100" s="19">
        <f t="shared" si="14"/>
        <v>933.33333333333337</v>
      </c>
      <c r="J100" s="18">
        <f t="shared" si="15"/>
        <v>98</v>
      </c>
      <c r="K100" s="18">
        <f t="shared" si="16"/>
        <v>0</v>
      </c>
      <c r="L100" s="43">
        <f t="shared" si="17"/>
        <v>399.99999999999989</v>
      </c>
      <c r="M100" s="55">
        <f>(G100/D18)</f>
        <v>373.33333333333337</v>
      </c>
    </row>
    <row r="101" spans="1:13" ht="15.75" x14ac:dyDescent="0.25">
      <c r="A101" s="383" t="s">
        <v>70</v>
      </c>
      <c r="B101" s="384"/>
      <c r="C101" s="135">
        <f t="shared" si="18"/>
        <v>1333.3333333333333</v>
      </c>
      <c r="D101" s="133">
        <f t="shared" si="11"/>
        <v>105</v>
      </c>
      <c r="E101" s="63">
        <f t="shared" si="12"/>
        <v>0</v>
      </c>
      <c r="G101" s="17">
        <f>(D26/12)</f>
        <v>933.33333333333337</v>
      </c>
      <c r="H101" s="18">
        <f t="shared" si="13"/>
        <v>0</v>
      </c>
      <c r="I101" s="19">
        <f t="shared" si="14"/>
        <v>933.33333333333337</v>
      </c>
      <c r="J101" s="18">
        <f t="shared" si="15"/>
        <v>98</v>
      </c>
      <c r="K101" s="18">
        <f t="shared" si="16"/>
        <v>0</v>
      </c>
      <c r="L101" s="43">
        <f t="shared" si="17"/>
        <v>399.99999999999989</v>
      </c>
      <c r="M101" s="55">
        <f>(G101/D18)</f>
        <v>373.33333333333337</v>
      </c>
    </row>
    <row r="102" spans="1:13" ht="15.75" x14ac:dyDescent="0.25">
      <c r="A102" s="383" t="s">
        <v>71</v>
      </c>
      <c r="B102" s="384"/>
      <c r="C102" s="135">
        <f t="shared" si="18"/>
        <v>1333.3333333333333</v>
      </c>
      <c r="D102" s="133">
        <f t="shared" si="11"/>
        <v>105</v>
      </c>
      <c r="E102" s="63">
        <f t="shared" si="12"/>
        <v>0</v>
      </c>
      <c r="G102" s="17">
        <f>(D26/12)</f>
        <v>933.33333333333337</v>
      </c>
      <c r="H102" s="18">
        <f t="shared" si="13"/>
        <v>0</v>
      </c>
      <c r="I102" s="19">
        <f t="shared" si="14"/>
        <v>933.33333333333337</v>
      </c>
      <c r="J102" s="18">
        <f t="shared" si="15"/>
        <v>98</v>
      </c>
      <c r="K102" s="18">
        <f t="shared" si="16"/>
        <v>0</v>
      </c>
      <c r="L102" s="43">
        <f t="shared" si="17"/>
        <v>399.99999999999989</v>
      </c>
      <c r="M102" s="55">
        <f>(G102/D18)</f>
        <v>373.33333333333337</v>
      </c>
    </row>
    <row r="103" spans="1:13" ht="15.75" x14ac:dyDescent="0.25">
      <c r="A103" s="383" t="s">
        <v>72</v>
      </c>
      <c r="B103" s="384"/>
      <c r="C103" s="135">
        <f t="shared" si="18"/>
        <v>1333.3333333333333</v>
      </c>
      <c r="D103" s="133">
        <f t="shared" si="11"/>
        <v>105</v>
      </c>
      <c r="E103" s="63">
        <f t="shared" si="12"/>
        <v>0</v>
      </c>
      <c r="G103" s="17">
        <f>(D26/12)</f>
        <v>933.33333333333337</v>
      </c>
      <c r="H103" s="18">
        <f t="shared" si="13"/>
        <v>0</v>
      </c>
      <c r="I103" s="19">
        <f t="shared" si="14"/>
        <v>933.33333333333337</v>
      </c>
      <c r="J103" s="18">
        <f t="shared" si="15"/>
        <v>98</v>
      </c>
      <c r="K103" s="18">
        <f t="shared" si="16"/>
        <v>0</v>
      </c>
      <c r="L103" s="43">
        <f t="shared" si="17"/>
        <v>399.99999999999989</v>
      </c>
      <c r="M103" s="55">
        <f>(G103/D18)</f>
        <v>373.33333333333337</v>
      </c>
    </row>
    <row r="104" spans="1:13" ht="15.75" x14ac:dyDescent="0.25">
      <c r="A104" s="383" t="s">
        <v>73</v>
      </c>
      <c r="B104" s="384"/>
      <c r="C104" s="135">
        <f t="shared" si="18"/>
        <v>1333.3333333333333</v>
      </c>
      <c r="D104" s="133">
        <f t="shared" si="11"/>
        <v>105</v>
      </c>
      <c r="E104" s="63">
        <f t="shared" si="12"/>
        <v>0</v>
      </c>
      <c r="G104" s="17">
        <f>(D26/12)</f>
        <v>933.33333333333337</v>
      </c>
      <c r="H104" s="18">
        <f t="shared" si="13"/>
        <v>0</v>
      </c>
      <c r="I104" s="19">
        <f t="shared" si="14"/>
        <v>933.33333333333337</v>
      </c>
      <c r="J104" s="18">
        <f t="shared" si="15"/>
        <v>98</v>
      </c>
      <c r="K104" s="18">
        <f t="shared" si="16"/>
        <v>0</v>
      </c>
      <c r="L104" s="43">
        <f t="shared" si="17"/>
        <v>399.99999999999989</v>
      </c>
      <c r="M104" s="55">
        <f>(G104/D18)</f>
        <v>373.33333333333337</v>
      </c>
    </row>
    <row r="105" spans="1:13" ht="15.75" x14ac:dyDescent="0.25">
      <c r="A105" s="391" t="s">
        <v>74</v>
      </c>
      <c r="B105" s="392"/>
      <c r="C105" s="20">
        <f>SUM(C93:C104)</f>
        <v>16000.000000000002</v>
      </c>
      <c r="D105" s="12"/>
      <c r="E105" s="12"/>
      <c r="G105" s="18">
        <f t="shared" ref="G105:L105" si="19">SUM(G93:G104)</f>
        <v>11200.000000000002</v>
      </c>
      <c r="H105" s="18">
        <f t="shared" si="19"/>
        <v>0</v>
      </c>
      <c r="I105" s="19">
        <f t="shared" si="19"/>
        <v>11200.000000000002</v>
      </c>
      <c r="J105" s="21">
        <f t="shared" si="19"/>
        <v>1176</v>
      </c>
      <c r="K105" s="18">
        <f t="shared" si="19"/>
        <v>0</v>
      </c>
      <c r="L105" s="43">
        <f t="shared" si="19"/>
        <v>4799.9999999999991</v>
      </c>
      <c r="M105" s="99">
        <f t="shared" ref="M105" si="20">(G105/2.5)</f>
        <v>4480.0000000000009</v>
      </c>
    </row>
    <row r="106" spans="1:13" ht="15.75" x14ac:dyDescent="0.25">
      <c r="A106" s="391" t="s">
        <v>75</v>
      </c>
      <c r="B106" s="393"/>
      <c r="C106" s="12"/>
      <c r="D106" s="16">
        <f>D9</f>
        <v>105</v>
      </c>
      <c r="E106" s="16">
        <f>D24</f>
        <v>0</v>
      </c>
    </row>
    <row r="108" spans="1:13" x14ac:dyDescent="0.25">
      <c r="E108" s="100" t="s">
        <v>4</v>
      </c>
    </row>
  </sheetData>
  <mergeCells count="56">
    <mergeCell ref="A103:B103"/>
    <mergeCell ref="A104:B104"/>
    <mergeCell ref="A105:B105"/>
    <mergeCell ref="A106:B106"/>
    <mergeCell ref="A97:B97"/>
    <mergeCell ref="A98:B98"/>
    <mergeCell ref="A99:B99"/>
    <mergeCell ref="A100:B100"/>
    <mergeCell ref="A101:B101"/>
    <mergeCell ref="A102:B102"/>
    <mergeCell ref="A96:B96"/>
    <mergeCell ref="A79:C79"/>
    <mergeCell ref="A80:C80"/>
    <mergeCell ref="A81:C81"/>
    <mergeCell ref="A84:C84"/>
    <mergeCell ref="A85:C85"/>
    <mergeCell ref="A86:C86"/>
    <mergeCell ref="A87:C87"/>
    <mergeCell ref="A88:C88"/>
    <mergeCell ref="A93:B93"/>
    <mergeCell ref="A94:B94"/>
    <mergeCell ref="A95:B95"/>
    <mergeCell ref="A78:C78"/>
    <mergeCell ref="A64:C64"/>
    <mergeCell ref="A65:C65"/>
    <mergeCell ref="A66:C66"/>
    <mergeCell ref="A67:C67"/>
    <mergeCell ref="A68:C68"/>
    <mergeCell ref="A69:C69"/>
    <mergeCell ref="A70:C70"/>
    <mergeCell ref="A71:C71"/>
    <mergeCell ref="A73:C73"/>
    <mergeCell ref="A74:C74"/>
    <mergeCell ref="A77:C77"/>
    <mergeCell ref="A72:C72"/>
    <mergeCell ref="A31:C31"/>
    <mergeCell ref="A20:C20"/>
    <mergeCell ref="A21:C21"/>
    <mergeCell ref="A22:C22"/>
    <mergeCell ref="A23:C23"/>
    <mergeCell ref="A24:C24"/>
    <mergeCell ref="A25:C25"/>
    <mergeCell ref="A26:C26"/>
    <mergeCell ref="A27:C27"/>
    <mergeCell ref="A28:C28"/>
    <mergeCell ref="A29:C29"/>
    <mergeCell ref="A30:C30"/>
    <mergeCell ref="A19:C19"/>
    <mergeCell ref="A1:L1"/>
    <mergeCell ref="A9:C9"/>
    <mergeCell ref="A10:C10"/>
    <mergeCell ref="A11:C11"/>
    <mergeCell ref="A18:C18"/>
    <mergeCell ref="A12:C12"/>
    <mergeCell ref="A13:C13"/>
    <mergeCell ref="A14:C14"/>
  </mergeCells>
  <conditionalFormatting sqref="M39:N58 M38">
    <cfRule type="cellIs" dxfId="1" priority="1" operator="greaterThan">
      <formula>1</formula>
    </cfRule>
  </conditionalFormatting>
  <conditionalFormatting sqref="N39:N58">
    <cfRule type="colorScale" priority="2">
      <colorScale>
        <cfvo type="min"/>
        <cfvo type="percentile" val="50"/>
        <cfvo type="max"/>
        <color rgb="FFF8696B"/>
        <color rgb="FFFCFCFF"/>
        <color rgb="FF63BE7B"/>
      </colorScale>
    </cfRule>
  </conditionalFormatting>
  <conditionalFormatting sqref="M38:M58">
    <cfRule type="colorScale" priority="3">
      <colorScale>
        <cfvo type="min"/>
        <cfvo type="percentile" val="50"/>
        <cfvo type="max"/>
        <color rgb="FFF8696B"/>
        <color rgb="FFFCFCFF"/>
        <color rgb="FF63BE7B"/>
      </colorScale>
    </cfRule>
  </conditionalFormatting>
  <hyperlinks>
    <hyperlink ref="I10" r:id="rId1" xr:uid="{D959F02B-D383-4892-86D6-BC2281A1E36D}"/>
    <hyperlink ref="I21" r:id="rId2" display="www.vero.fi" xr:uid="{7D8998D5-A44F-4606-B5FA-33D0277A30D7}"/>
    <hyperlink ref="K21" r:id="rId3" display="www.businessfinland.fi" xr:uid="{11DDAFF0-FCAB-456F-B7FA-75361107600C}"/>
    <hyperlink ref="N21" r:id="rId4" display="www.ara.fi" xr:uid="{A1617914-626C-4D83-AD33-4437EE2CD912}"/>
    <hyperlink ref="I19" r:id="rId5" display="www.sulpu.fi" xr:uid="{24380236-4559-4262-A60B-13EFBB438B29}"/>
    <hyperlink ref="H20" r:id="rId6" xr:uid="{8B6DC3B0-8C9D-459A-BCDD-F87C775FAC41}"/>
    <hyperlink ref="I20" r:id="rId7" xr:uid="{55F86D38-3F4B-4A9A-9F48-4313B8437D2E}"/>
    <hyperlink ref="K20" r:id="rId8" xr:uid="{04FC5E83-361F-4848-A251-2CE7D454A20A}"/>
    <hyperlink ref="L20" r:id="rId9" xr:uid="{DA822004-6D37-4B84-8817-42759BFDB903}"/>
    <hyperlink ref="I86" r:id="rId10" xr:uid="{FA9C0CD8-EF0E-4869-8D5E-94972FD9F4F1}"/>
    <hyperlink ref="I84" r:id="rId11" location="fi_id7000000778" display="https://co2data.fi/rakentaminen/ - fi_id7000000778" xr:uid="{7560C005-F079-4ECD-B6D5-DF8A36C6526B}"/>
    <hyperlink ref="I85" r:id="rId12" xr:uid="{CF81AFF5-CA04-4C7A-A921-5435417B2C49}"/>
    <hyperlink ref="I88" r:id="rId13" xr:uid="{F5528C44-2F54-4E63-8281-F77965DC1580}"/>
  </hyperlinks>
  <pageMargins left="0.7" right="0.7" top="0.75" bottom="0.75" header="0.3" footer="0.3"/>
  <pageSetup paperSize="9" orientation="portrait" r:id="rId14"/>
  <drawing r:id="rId15"/>
  <legacyDrawing r:id="rId1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B78A0-57C1-4238-AB54-67F3C977A779}">
  <sheetPr>
    <tabColor rgb="FFFFC000"/>
  </sheetPr>
  <dimension ref="A1:V113"/>
  <sheetViews>
    <sheetView zoomScale="80" zoomScaleNormal="80" workbookViewId="0">
      <selection activeCell="A3" sqref="A3"/>
    </sheetView>
  </sheetViews>
  <sheetFormatPr defaultRowHeight="15" x14ac:dyDescent="0.25"/>
  <cols>
    <col min="1" max="1" width="52" customWidth="1"/>
    <col min="2" max="3" width="10.42578125" customWidth="1"/>
    <col min="4" max="4" width="11.5703125" customWidth="1"/>
    <col min="5" max="5" width="10.140625" bestFit="1" customWidth="1"/>
    <col min="6" max="6" width="11.140625" customWidth="1"/>
    <col min="8" max="8" width="10.85546875" bestFit="1" customWidth="1"/>
    <col min="9" max="9" width="11.28515625" bestFit="1" customWidth="1"/>
    <col min="10" max="10" width="11.85546875" bestFit="1" customWidth="1"/>
    <col min="11" max="14" width="11.140625" customWidth="1"/>
    <col min="18" max="18" width="9.5703125" customWidth="1"/>
    <col min="19" max="19" width="9.42578125" customWidth="1"/>
    <col min="21" max="22" width="11.140625" customWidth="1"/>
  </cols>
  <sheetData>
    <row r="1" spans="1:12" x14ac:dyDescent="0.25">
      <c r="A1" s="340" t="s">
        <v>262</v>
      </c>
      <c r="B1" s="340"/>
      <c r="C1" s="340"/>
      <c r="D1" s="340"/>
      <c r="E1" s="340"/>
      <c r="F1" s="340"/>
      <c r="G1" s="340"/>
      <c r="H1" s="340"/>
      <c r="I1" s="340"/>
      <c r="J1" s="340"/>
      <c r="K1" s="340"/>
      <c r="L1" s="340"/>
    </row>
    <row r="2" spans="1:12" x14ac:dyDescent="0.25">
      <c r="A2" s="145" t="s">
        <v>153</v>
      </c>
    </row>
    <row r="3" spans="1:12" ht="15.75" x14ac:dyDescent="0.25">
      <c r="A3" s="252" t="s">
        <v>279</v>
      </c>
    </row>
    <row r="5" spans="1:12" x14ac:dyDescent="0.25">
      <c r="A5" s="8" t="s">
        <v>46</v>
      </c>
    </row>
    <row r="6" spans="1:12" x14ac:dyDescent="0.25">
      <c r="A6" s="9" t="s">
        <v>1</v>
      </c>
    </row>
    <row r="7" spans="1:12" x14ac:dyDescent="0.25">
      <c r="A7" s="9"/>
    </row>
    <row r="8" spans="1:12" x14ac:dyDescent="0.25">
      <c r="A8" s="48" t="s">
        <v>111</v>
      </c>
    </row>
    <row r="9" spans="1:12" ht="15.75" x14ac:dyDescent="0.25">
      <c r="A9" s="341" t="s">
        <v>267</v>
      </c>
      <c r="B9" s="338"/>
      <c r="C9" s="339"/>
      <c r="D9" s="38">
        <f>((1+1.1)/2)*100</f>
        <v>105</v>
      </c>
      <c r="E9" t="s">
        <v>47</v>
      </c>
      <c r="G9" t="s">
        <v>4</v>
      </c>
    </row>
    <row r="10" spans="1:12" ht="15.75" x14ac:dyDescent="0.25">
      <c r="A10" s="341" t="s">
        <v>113</v>
      </c>
      <c r="B10" s="338"/>
      <c r="C10" s="339"/>
      <c r="D10" s="305">
        <v>0.01</v>
      </c>
      <c r="G10" t="s">
        <v>6</v>
      </c>
      <c r="I10" s="10" t="s">
        <v>9</v>
      </c>
    </row>
    <row r="11" spans="1:12" x14ac:dyDescent="0.25">
      <c r="A11" s="342" t="s">
        <v>110</v>
      </c>
      <c r="B11" s="343"/>
      <c r="C11" s="344"/>
      <c r="D11" s="42">
        <f>(2000)*10</f>
        <v>20000</v>
      </c>
      <c r="E11" t="s">
        <v>10</v>
      </c>
      <c r="G11" t="s">
        <v>4</v>
      </c>
    </row>
    <row r="12" spans="1:12" ht="15.75" x14ac:dyDescent="0.25">
      <c r="A12" s="342" t="s">
        <v>137</v>
      </c>
      <c r="B12" s="343"/>
      <c r="C12" s="344"/>
      <c r="D12" s="105">
        <v>0.8</v>
      </c>
      <c r="E12" s="100"/>
    </row>
    <row r="13" spans="1:12" ht="15.75" x14ac:dyDescent="0.25">
      <c r="A13" s="342" t="s">
        <v>138</v>
      </c>
      <c r="B13" s="343"/>
      <c r="C13" s="344"/>
      <c r="D13" s="106">
        <f>(D11*D12)</f>
        <v>16000</v>
      </c>
      <c r="E13" s="100" t="s">
        <v>10</v>
      </c>
    </row>
    <row r="14" spans="1:12" x14ac:dyDescent="0.25">
      <c r="A14" s="346" t="s">
        <v>139</v>
      </c>
      <c r="B14" s="346"/>
      <c r="C14" s="346"/>
      <c r="D14" s="42" t="s">
        <v>4</v>
      </c>
      <c r="E14" s="100" t="s">
        <v>4</v>
      </c>
    </row>
    <row r="15" spans="1:12" x14ac:dyDescent="0.25">
      <c r="A15" s="46"/>
      <c r="B15" s="46"/>
      <c r="C15" s="46"/>
      <c r="D15" s="47"/>
    </row>
    <row r="16" spans="1:12" x14ac:dyDescent="0.25">
      <c r="A16" s="46"/>
      <c r="B16" s="46"/>
      <c r="C16" s="46"/>
      <c r="D16" s="47"/>
    </row>
    <row r="17" spans="1:18" x14ac:dyDescent="0.25">
      <c r="A17" s="49" t="s">
        <v>112</v>
      </c>
      <c r="B17" s="46"/>
      <c r="C17" s="46"/>
      <c r="D17" s="47"/>
    </row>
    <row r="18" spans="1:18" ht="15.75" x14ac:dyDescent="0.25">
      <c r="A18" s="345" t="s">
        <v>114</v>
      </c>
      <c r="B18" s="338"/>
      <c r="C18" s="339"/>
      <c r="D18" s="11">
        <v>3.2</v>
      </c>
    </row>
    <row r="19" spans="1:18" ht="15.75" x14ac:dyDescent="0.25">
      <c r="A19" s="337" t="s">
        <v>268</v>
      </c>
      <c r="B19" s="338"/>
      <c r="C19" s="339"/>
      <c r="D19" s="39">
        <f>(14000+20000)/2</f>
        <v>17000</v>
      </c>
      <c r="E19" t="s">
        <v>4</v>
      </c>
      <c r="F19" t="s">
        <v>4</v>
      </c>
      <c r="G19" t="s">
        <v>4</v>
      </c>
      <c r="I19" s="10" t="s">
        <v>4</v>
      </c>
    </row>
    <row r="20" spans="1:18" ht="15.75" x14ac:dyDescent="0.25">
      <c r="A20" s="345" t="s">
        <v>48</v>
      </c>
      <c r="B20" s="338"/>
      <c r="C20" s="339"/>
      <c r="D20" s="97">
        <v>0.23499999999999999</v>
      </c>
      <c r="G20" t="s">
        <v>6</v>
      </c>
      <c r="H20" s="10" t="s">
        <v>18</v>
      </c>
      <c r="I20" s="10" t="s">
        <v>19</v>
      </c>
      <c r="K20" s="10" t="s">
        <v>20</v>
      </c>
      <c r="L20" s="10" t="s">
        <v>249</v>
      </c>
      <c r="P20" s="100"/>
      <c r="R20" s="100" t="s">
        <v>277</v>
      </c>
    </row>
    <row r="21" spans="1:18" ht="15.75" x14ac:dyDescent="0.25">
      <c r="A21" s="348" t="s">
        <v>49</v>
      </c>
      <c r="B21" s="338"/>
      <c r="C21" s="339"/>
      <c r="D21" s="59">
        <v>0</v>
      </c>
      <c r="G21" t="s">
        <v>4</v>
      </c>
      <c r="I21" s="10" t="s">
        <v>4</v>
      </c>
      <c r="K21" s="10" t="s">
        <v>4</v>
      </c>
      <c r="N21" s="10" t="s">
        <v>4</v>
      </c>
    </row>
    <row r="22" spans="1:18" ht="15.75" x14ac:dyDescent="0.25">
      <c r="A22" s="349" t="s">
        <v>118</v>
      </c>
      <c r="B22" s="350"/>
      <c r="C22" s="350"/>
      <c r="D22" s="52">
        <v>0</v>
      </c>
    </row>
    <row r="23" spans="1:18" ht="15.75" x14ac:dyDescent="0.25">
      <c r="A23" s="351" t="s">
        <v>119</v>
      </c>
      <c r="B23" s="352"/>
      <c r="C23" s="353"/>
      <c r="D23" s="60">
        <v>1</v>
      </c>
    </row>
    <row r="24" spans="1:18" ht="15.75" x14ac:dyDescent="0.25">
      <c r="A24" s="354" t="s">
        <v>269</v>
      </c>
      <c r="B24" s="355"/>
      <c r="C24" s="356"/>
      <c r="D24" s="61">
        <v>0</v>
      </c>
      <c r="E24" s="4" t="s">
        <v>47</v>
      </c>
    </row>
    <row r="25" spans="1:18" ht="15.6" customHeight="1" x14ac:dyDescent="0.25">
      <c r="A25" s="357" t="s">
        <v>270</v>
      </c>
      <c r="B25" s="350"/>
      <c r="C25" s="358"/>
      <c r="D25" s="306">
        <v>150</v>
      </c>
      <c r="E25" s="88"/>
    </row>
    <row r="26" spans="1:18" ht="15.75" x14ac:dyDescent="0.25">
      <c r="A26" s="359" t="s">
        <v>131</v>
      </c>
      <c r="B26" s="360"/>
      <c r="C26" s="361"/>
      <c r="D26" s="58">
        <f>(D13*0.96)</f>
        <v>15360</v>
      </c>
      <c r="E26" t="s">
        <v>27</v>
      </c>
      <c r="F26" t="s">
        <v>4</v>
      </c>
      <c r="G26" t="s">
        <v>257</v>
      </c>
      <c r="H26" s="100"/>
      <c r="I26" s="100"/>
      <c r="J26" s="100"/>
    </row>
    <row r="27" spans="1:18" ht="15.6" customHeight="1" x14ac:dyDescent="0.25">
      <c r="A27" s="362" t="s">
        <v>83</v>
      </c>
      <c r="B27" s="350"/>
      <c r="C27" s="358"/>
      <c r="D27" s="62">
        <v>0</v>
      </c>
    </row>
    <row r="28" spans="1:18" ht="15.75" x14ac:dyDescent="0.25">
      <c r="A28" s="363" t="s">
        <v>271</v>
      </c>
      <c r="B28" s="363"/>
      <c r="C28" s="363"/>
      <c r="D28" s="314">
        <f>(14)</f>
        <v>14</v>
      </c>
      <c r="E28" t="s">
        <v>3</v>
      </c>
    </row>
    <row r="29" spans="1:18" ht="15.75" x14ac:dyDescent="0.25">
      <c r="A29" s="347" t="s">
        <v>115</v>
      </c>
      <c r="B29" s="347"/>
      <c r="C29" s="347"/>
      <c r="D29" s="315">
        <v>5000</v>
      </c>
      <c r="E29" t="s">
        <v>4</v>
      </c>
    </row>
    <row r="30" spans="1:18" ht="15.75" x14ac:dyDescent="0.25">
      <c r="A30" s="347" t="s">
        <v>116</v>
      </c>
      <c r="B30" s="347"/>
      <c r="C30" s="347"/>
      <c r="D30" s="54">
        <v>5</v>
      </c>
      <c r="E30" t="s">
        <v>85</v>
      </c>
    </row>
    <row r="31" spans="1:18" ht="15.75" x14ac:dyDescent="0.25">
      <c r="A31" s="347" t="s">
        <v>117</v>
      </c>
      <c r="B31" s="347"/>
      <c r="C31" s="347"/>
      <c r="D31" s="53">
        <v>1.4999999999999999E-2</v>
      </c>
    </row>
    <row r="32" spans="1:18" ht="15.75" x14ac:dyDescent="0.25">
      <c r="A32" s="50"/>
      <c r="B32" s="44"/>
      <c r="C32" s="44"/>
      <c r="D32" s="51"/>
    </row>
    <row r="33" spans="1:22" ht="15.75" x14ac:dyDescent="0.25">
      <c r="A33" s="50"/>
      <c r="B33" s="44"/>
      <c r="C33" s="44"/>
      <c r="D33" s="51"/>
    </row>
    <row r="34" spans="1:22" ht="15.75" x14ac:dyDescent="0.25">
      <c r="A34" s="50"/>
      <c r="B34" s="44"/>
      <c r="C34" s="44"/>
      <c r="D34" s="51"/>
    </row>
    <row r="35" spans="1:22" ht="15.75" x14ac:dyDescent="0.25">
      <c r="A35" s="50"/>
      <c r="B35" s="44"/>
      <c r="C35" s="44"/>
      <c r="D35" s="51"/>
    </row>
    <row r="36" spans="1:22" ht="15.75" x14ac:dyDescent="0.25">
      <c r="A36" s="25" t="s">
        <v>99</v>
      </c>
      <c r="B36" s="12"/>
      <c r="C36" s="12"/>
      <c r="D36" s="12"/>
    </row>
    <row r="37" spans="1:22" ht="126" x14ac:dyDescent="0.25">
      <c r="A37" s="109" t="s">
        <v>141</v>
      </c>
      <c r="B37" s="110" t="s">
        <v>142</v>
      </c>
      <c r="C37" s="110" t="s">
        <v>143</v>
      </c>
      <c r="D37" s="110" t="s">
        <v>144</v>
      </c>
      <c r="E37" s="111" t="s">
        <v>116</v>
      </c>
      <c r="F37" s="111" t="s">
        <v>145</v>
      </c>
      <c r="G37" s="111" t="s">
        <v>146</v>
      </c>
      <c r="H37" s="111" t="s">
        <v>147</v>
      </c>
      <c r="I37" s="111" t="s">
        <v>148</v>
      </c>
      <c r="J37" s="111" t="s">
        <v>149</v>
      </c>
      <c r="K37" s="111" t="s">
        <v>150</v>
      </c>
      <c r="L37" s="112" t="s">
        <v>31</v>
      </c>
      <c r="M37" s="113" t="s">
        <v>32</v>
      </c>
      <c r="N37" s="113" t="s">
        <v>33</v>
      </c>
      <c r="O37" s="112" t="s">
        <v>101</v>
      </c>
      <c r="P37" s="109" t="s">
        <v>102</v>
      </c>
      <c r="Q37" s="109" t="s">
        <v>103</v>
      </c>
      <c r="R37" s="109" t="s">
        <v>104</v>
      </c>
      <c r="S37" s="114" t="s">
        <v>100</v>
      </c>
      <c r="T37" s="115" t="s">
        <v>30</v>
      </c>
      <c r="U37" s="116" t="s">
        <v>151</v>
      </c>
      <c r="V37" s="116" t="s">
        <v>105</v>
      </c>
    </row>
    <row r="38" spans="1:22" ht="15.75" x14ac:dyDescent="0.25">
      <c r="A38" s="24">
        <v>0</v>
      </c>
      <c r="B38" s="33">
        <f>D9</f>
        <v>105</v>
      </c>
      <c r="C38" s="24">
        <v>0</v>
      </c>
      <c r="D38" s="33">
        <f>(D13/1000*B38)+C38</f>
        <v>1680</v>
      </c>
      <c r="E38" s="117">
        <f>(0)</f>
        <v>0</v>
      </c>
      <c r="F38" s="118">
        <f>IF((D30&gt;0),0,$D$75)</f>
        <v>0</v>
      </c>
      <c r="G38" s="318">
        <f>(0)</f>
        <v>0</v>
      </c>
      <c r="H38" s="318">
        <f>IF(D29&gt;0,(D29),"")</f>
        <v>5000</v>
      </c>
      <c r="I38" s="318">
        <f>IF(OR(H38="",H38=0),0,D75-D29)</f>
        <v>8005</v>
      </c>
      <c r="J38" s="120">
        <v>0</v>
      </c>
      <c r="K38" s="322">
        <f>IFERROR(F38+G38+I38+J38,J38)</f>
        <v>8005</v>
      </c>
      <c r="L38" s="32">
        <f>S38-K38</f>
        <v>-8005</v>
      </c>
      <c r="M38" s="21">
        <f>L38</f>
        <v>-8005</v>
      </c>
      <c r="N38" s="21" t="s">
        <v>4</v>
      </c>
      <c r="O38" s="24">
        <f t="shared" ref="O38:O63" si="0">IF(N38&lt;0,1,0)</f>
        <v>0</v>
      </c>
      <c r="P38" s="33">
        <f>D9</f>
        <v>105</v>
      </c>
      <c r="Q38" s="33">
        <f>D24</f>
        <v>0</v>
      </c>
      <c r="R38" s="43">
        <f>IF(D24&gt;0,G110,I110)</f>
        <v>15360</v>
      </c>
      <c r="S38" s="21">
        <v>0</v>
      </c>
      <c r="T38" s="64">
        <v>0</v>
      </c>
      <c r="U38" s="66">
        <f>D38</f>
        <v>1680</v>
      </c>
      <c r="V38" s="66">
        <f>(K38)</f>
        <v>8005</v>
      </c>
    </row>
    <row r="39" spans="1:22" ht="15.75" x14ac:dyDescent="0.25">
      <c r="A39" s="24">
        <v>1</v>
      </c>
      <c r="B39" s="33">
        <f>(1+D10)*B38</f>
        <v>106.05</v>
      </c>
      <c r="C39" s="24">
        <v>0</v>
      </c>
      <c r="D39" s="33">
        <f>(D13/1000*B39)+C39</f>
        <v>1696.8</v>
      </c>
      <c r="E39" s="117">
        <f>IF(OR(H38="",H38=0),"",E38+1)</f>
        <v>1</v>
      </c>
      <c r="F39" s="118">
        <f>IF(E39="","",$D$29/$D$30)</f>
        <v>1000</v>
      </c>
      <c r="G39" s="318">
        <f>IF(E39="","",((H38*$D$31)))</f>
        <v>75</v>
      </c>
      <c r="H39" s="318">
        <f>IFERROR(ROUND(IF(E39="","",($H$38-SUM($F$38:F39))),2),"")</f>
        <v>4000</v>
      </c>
      <c r="I39" s="119"/>
      <c r="J39" s="120">
        <f>D25</f>
        <v>150</v>
      </c>
      <c r="K39" s="322">
        <f>IFERROR(F39+G39+I39+J39,J39)</f>
        <v>1225</v>
      </c>
      <c r="L39" s="32">
        <f>S39-K39</f>
        <v>403.92800000000011</v>
      </c>
      <c r="M39" s="21">
        <f t="shared" ref="M39:M63" si="1">M38+$L39</f>
        <v>-7601.0720000000001</v>
      </c>
      <c r="N39" s="21">
        <f>NPV(D22,L38:L39)</f>
        <v>-7601.0720000000001</v>
      </c>
      <c r="O39" s="24">
        <f t="shared" si="0"/>
        <v>1</v>
      </c>
      <c r="P39" s="33">
        <f t="shared" ref="P39:Q54" si="2">(1+$D$10)*P38</f>
        <v>106.05</v>
      </c>
      <c r="Q39" s="33">
        <f t="shared" si="2"/>
        <v>0</v>
      </c>
      <c r="R39" s="43">
        <f>R38*(1+D27)</f>
        <v>15360</v>
      </c>
      <c r="S39" s="21">
        <f>R39*D23*P39/1000+R39*(1-D23)*D24/1000</f>
        <v>1628.9280000000001</v>
      </c>
      <c r="T39" s="64">
        <v>1</v>
      </c>
      <c r="U39" s="66">
        <f t="shared" ref="U39:U63" si="3">(U38+D39)</f>
        <v>3376.8</v>
      </c>
      <c r="V39" s="66">
        <f>(V38+(D76+D77))</f>
        <v>8766.6</v>
      </c>
    </row>
    <row r="40" spans="1:22" ht="15.75" x14ac:dyDescent="0.25">
      <c r="A40" s="24">
        <v>2</v>
      </c>
      <c r="B40" s="33">
        <f>(1+D10)*B39</f>
        <v>107.1105</v>
      </c>
      <c r="C40" s="24">
        <v>0</v>
      </c>
      <c r="D40" s="33">
        <f>(D13/1000*B40)+C40</f>
        <v>1713.768</v>
      </c>
      <c r="E40" s="117">
        <f>IF(OR(H39="",H39=0),"",E39+1)</f>
        <v>2</v>
      </c>
      <c r="F40" s="118">
        <f t="shared" ref="F40:F58" si="4">IF(E40="","",$D$29/$D$30)</f>
        <v>1000</v>
      </c>
      <c r="G40" s="318">
        <f t="shared" ref="G40:G58" si="5">IF(E40="","",((H39*$D$31)))</f>
        <v>60</v>
      </c>
      <c r="H40" s="318">
        <f>IFERROR(ROUND(IF(E40="","",($H$38-SUM($F$38:F40))),2),"")</f>
        <v>3000</v>
      </c>
      <c r="I40" s="119"/>
      <c r="J40" s="120">
        <f>D25</f>
        <v>150</v>
      </c>
      <c r="K40" s="322">
        <f t="shared" ref="K40:K63" si="6">IFERROR(F40+G40+I40+J40,J40)</f>
        <v>1210</v>
      </c>
      <c r="L40" s="32">
        <f t="shared" ref="L40:L63" si="7">S40-K40</f>
        <v>435.21728000000007</v>
      </c>
      <c r="M40" s="21">
        <f t="shared" si="1"/>
        <v>-7165.8547200000003</v>
      </c>
      <c r="N40" s="21">
        <f>NPV(D22,L38:L40)</f>
        <v>-7165.8547200000003</v>
      </c>
      <c r="O40" s="24">
        <f t="shared" si="0"/>
        <v>1</v>
      </c>
      <c r="P40" s="33">
        <f t="shared" si="2"/>
        <v>107.1105</v>
      </c>
      <c r="Q40" s="33">
        <f t="shared" si="2"/>
        <v>0</v>
      </c>
      <c r="R40" s="43">
        <f>R39*(1+D27)</f>
        <v>15360</v>
      </c>
      <c r="S40" s="21">
        <f>R40*D23*P40/1000+R40*(1-D23)*D24/1000</f>
        <v>1645.2172800000001</v>
      </c>
      <c r="T40" s="64">
        <v>2</v>
      </c>
      <c r="U40" s="66">
        <f t="shared" si="3"/>
        <v>5090.5680000000002</v>
      </c>
      <c r="V40" s="66">
        <f>(V39+(D76+D77))</f>
        <v>9528.2000000000007</v>
      </c>
    </row>
    <row r="41" spans="1:22" ht="15.75" x14ac:dyDescent="0.25">
      <c r="A41" s="24">
        <v>3</v>
      </c>
      <c r="B41" s="33">
        <f>(1+D10)*B40</f>
        <v>108.181605</v>
      </c>
      <c r="C41" s="24">
        <v>0</v>
      </c>
      <c r="D41" s="33">
        <f>(D13/1000*B41)+C41</f>
        <v>1730.9056800000001</v>
      </c>
      <c r="E41" s="117">
        <f t="shared" ref="E41:E58" si="8">IF(OR(H40="",H40=0),"",E40+1)</f>
        <v>3</v>
      </c>
      <c r="F41" s="118">
        <f t="shared" si="4"/>
        <v>1000</v>
      </c>
      <c r="G41" s="318">
        <f t="shared" si="5"/>
        <v>45</v>
      </c>
      <c r="H41" s="318">
        <f>IFERROR(ROUND(IF(E41="","",($H$38-SUM($F$38:F41))),2),"")</f>
        <v>2000</v>
      </c>
      <c r="I41" s="119"/>
      <c r="J41" s="120">
        <f>D25</f>
        <v>150</v>
      </c>
      <c r="K41" s="322">
        <f t="shared" si="6"/>
        <v>1195</v>
      </c>
      <c r="L41" s="32">
        <f t="shared" si="7"/>
        <v>466.66945280000004</v>
      </c>
      <c r="M41" s="21">
        <f t="shared" si="1"/>
        <v>-6699.1852672000005</v>
      </c>
      <c r="N41" s="21">
        <f>NPV(D22,L38:L41)</f>
        <v>-6699.1852672000005</v>
      </c>
      <c r="O41" s="24">
        <f t="shared" si="0"/>
        <v>1</v>
      </c>
      <c r="P41" s="33">
        <f t="shared" si="2"/>
        <v>108.181605</v>
      </c>
      <c r="Q41" s="33">
        <f t="shared" si="2"/>
        <v>0</v>
      </c>
      <c r="R41" s="43">
        <f>R40*(1+D27)</f>
        <v>15360</v>
      </c>
      <c r="S41" s="21">
        <f>R41*D23*P41/1000+R41*(1-D23)*D24/1000</f>
        <v>1661.6694528</v>
      </c>
      <c r="T41" s="64">
        <v>3</v>
      </c>
      <c r="U41" s="66">
        <f t="shared" si="3"/>
        <v>6821.4736800000001</v>
      </c>
      <c r="V41" s="66">
        <f>(V40+(D76+D77))</f>
        <v>10289.800000000001</v>
      </c>
    </row>
    <row r="42" spans="1:22" ht="15.75" x14ac:dyDescent="0.25">
      <c r="A42" s="24">
        <v>4</v>
      </c>
      <c r="B42" s="33">
        <f>(1+D10)*B41</f>
        <v>109.26342105000001</v>
      </c>
      <c r="C42" s="24">
        <v>0</v>
      </c>
      <c r="D42" s="33">
        <f>(D13/1000*B42)+C42</f>
        <v>1748.2147368000001</v>
      </c>
      <c r="E42" s="117">
        <f t="shared" si="8"/>
        <v>4</v>
      </c>
      <c r="F42" s="118">
        <f t="shared" si="4"/>
        <v>1000</v>
      </c>
      <c r="G42" s="318">
        <f t="shared" si="5"/>
        <v>30</v>
      </c>
      <c r="H42" s="318">
        <f>IFERROR(ROUND(IF(E42="","",($H$38-SUM($F$38:F42))),2),"")</f>
        <v>1000</v>
      </c>
      <c r="I42" s="119"/>
      <c r="J42" s="120">
        <f>D25</f>
        <v>150</v>
      </c>
      <c r="K42" s="322">
        <f t="shared" si="6"/>
        <v>1180</v>
      </c>
      <c r="L42" s="32">
        <f t="shared" si="7"/>
        <v>498.28614732799997</v>
      </c>
      <c r="M42" s="69">
        <f t="shared" si="1"/>
        <v>-6200.8991198720005</v>
      </c>
      <c r="N42" s="21">
        <f>NPV(D22,L38:L42)</f>
        <v>-6200.8991198720005</v>
      </c>
      <c r="O42" s="24">
        <f t="shared" si="0"/>
        <v>1</v>
      </c>
      <c r="P42" s="33">
        <f t="shared" si="2"/>
        <v>109.26342105000001</v>
      </c>
      <c r="Q42" s="33">
        <f t="shared" si="2"/>
        <v>0</v>
      </c>
      <c r="R42" s="43">
        <f>R41*(1+D27)</f>
        <v>15360</v>
      </c>
      <c r="S42" s="21">
        <f>R42*D23*P42/1000+R42*(1-D23)*D24/1000</f>
        <v>1678.286147328</v>
      </c>
      <c r="T42" s="64">
        <v>4</v>
      </c>
      <c r="U42" s="66">
        <f t="shared" si="3"/>
        <v>8569.6884167999997</v>
      </c>
      <c r="V42" s="66">
        <f>(V41+(D76+D77))</f>
        <v>11051.400000000001</v>
      </c>
    </row>
    <row r="43" spans="1:22" ht="15.75" x14ac:dyDescent="0.25">
      <c r="A43" s="24">
        <v>5</v>
      </c>
      <c r="B43" s="33">
        <f>(1+D10)*B42</f>
        <v>110.3560552605</v>
      </c>
      <c r="C43" s="24">
        <v>0</v>
      </c>
      <c r="D43" s="33">
        <f>(D13/1000*B43)+C43</f>
        <v>1765.696884168</v>
      </c>
      <c r="E43" s="117">
        <f t="shared" si="8"/>
        <v>5</v>
      </c>
      <c r="F43" s="118">
        <f t="shared" si="4"/>
        <v>1000</v>
      </c>
      <c r="G43" s="318">
        <f t="shared" si="5"/>
        <v>15</v>
      </c>
      <c r="H43" s="318">
        <f>IFERROR(ROUND(IF(E43="","",($H$38-SUM($F$38:F43))),2),"")</f>
        <v>0</v>
      </c>
      <c r="I43" s="119"/>
      <c r="J43" s="120">
        <f>D25</f>
        <v>150</v>
      </c>
      <c r="K43" s="322">
        <f t="shared" si="6"/>
        <v>1165</v>
      </c>
      <c r="L43" s="32">
        <f t="shared" si="7"/>
        <v>530.06900880128001</v>
      </c>
      <c r="M43" s="70">
        <f t="shared" si="1"/>
        <v>-5670.8301110707207</v>
      </c>
      <c r="N43" s="21">
        <f>NPV(D22,L38:L43)</f>
        <v>-5670.8301110707207</v>
      </c>
      <c r="O43" s="24">
        <f t="shared" si="0"/>
        <v>1</v>
      </c>
      <c r="P43" s="33">
        <f t="shared" si="2"/>
        <v>110.3560552605</v>
      </c>
      <c r="Q43" s="33">
        <f t="shared" si="2"/>
        <v>0</v>
      </c>
      <c r="R43" s="43">
        <f>R42*(1+D27)</f>
        <v>15360</v>
      </c>
      <c r="S43" s="21">
        <f>R43*D23*P43/1000+R43*(1-D23)*D24/1000</f>
        <v>1695.06900880128</v>
      </c>
      <c r="T43" s="64">
        <v>5</v>
      </c>
      <c r="U43" s="66">
        <f t="shared" si="3"/>
        <v>10335.385300967999</v>
      </c>
      <c r="V43" s="66">
        <f>(V42+(D76+D77))</f>
        <v>11813.000000000002</v>
      </c>
    </row>
    <row r="44" spans="1:22" ht="15.75" x14ac:dyDescent="0.25">
      <c r="A44" s="24">
        <v>6</v>
      </c>
      <c r="B44" s="33">
        <f>(1+D10)*B43</f>
        <v>111.459615813105</v>
      </c>
      <c r="C44" s="24">
        <v>0</v>
      </c>
      <c r="D44" s="33">
        <f>(D13/1000*B44)+C44</f>
        <v>1783.3538530096801</v>
      </c>
      <c r="E44" s="117" t="str">
        <f t="shared" si="8"/>
        <v/>
      </c>
      <c r="F44" s="118" t="str">
        <f t="shared" si="4"/>
        <v/>
      </c>
      <c r="G44" s="318" t="str">
        <f t="shared" si="5"/>
        <v/>
      </c>
      <c r="H44" s="318" t="str">
        <f>IFERROR(ROUND(IF(E44="","",($H$38-SUM($F$38:F44))),2),"")</f>
        <v/>
      </c>
      <c r="I44" s="119"/>
      <c r="J44" s="120">
        <f>D25</f>
        <v>150</v>
      </c>
      <c r="K44" s="322">
        <f t="shared" si="6"/>
        <v>150</v>
      </c>
      <c r="L44" s="32">
        <f t="shared" si="7"/>
        <v>1562.0196988892928</v>
      </c>
      <c r="M44" s="70">
        <f t="shared" si="1"/>
        <v>-4108.8104121814276</v>
      </c>
      <c r="N44" s="21">
        <f>NPV(D22,L38:L44)</f>
        <v>-4108.8104121814276</v>
      </c>
      <c r="O44" s="67">
        <f t="shared" si="0"/>
        <v>1</v>
      </c>
      <c r="P44" s="33">
        <f t="shared" si="2"/>
        <v>111.459615813105</v>
      </c>
      <c r="Q44" s="33">
        <f t="shared" si="2"/>
        <v>0</v>
      </c>
      <c r="R44" s="43">
        <f>R43*(1+D27)</f>
        <v>15360</v>
      </c>
      <c r="S44" s="21">
        <f>R44*D23*P44/1000+R44*(1-D23)*D24/1000</f>
        <v>1712.0196988892928</v>
      </c>
      <c r="T44" s="64">
        <v>6</v>
      </c>
      <c r="U44" s="66">
        <f t="shared" si="3"/>
        <v>12118.739153977678</v>
      </c>
      <c r="V44" s="66">
        <f>(V43+(D76+D77))</f>
        <v>12574.600000000002</v>
      </c>
    </row>
    <row r="45" spans="1:22" ht="15.75" x14ac:dyDescent="0.25">
      <c r="A45" s="24">
        <v>7</v>
      </c>
      <c r="B45" s="33">
        <f>(1+D10)*B44</f>
        <v>112.57421197123605</v>
      </c>
      <c r="C45" s="24">
        <v>0</v>
      </c>
      <c r="D45" s="33">
        <f>(D13/1000*B45)+C45</f>
        <v>1801.1873915397769</v>
      </c>
      <c r="E45" s="117" t="str">
        <f t="shared" si="8"/>
        <v/>
      </c>
      <c r="F45" s="118" t="str">
        <f t="shared" si="4"/>
        <v/>
      </c>
      <c r="G45" s="318" t="str">
        <f t="shared" si="5"/>
        <v/>
      </c>
      <c r="H45" s="318" t="str">
        <f>IFERROR(ROUND(IF(E45="","",($H$38-SUM($F$38:F45))),2),"")</f>
        <v/>
      </c>
      <c r="I45" s="119"/>
      <c r="J45" s="120">
        <f>D25</f>
        <v>150</v>
      </c>
      <c r="K45" s="322">
        <f t="shared" si="6"/>
        <v>150</v>
      </c>
      <c r="L45" s="32">
        <f t="shared" si="7"/>
        <v>1579.1398958781858</v>
      </c>
      <c r="M45" s="70">
        <f t="shared" si="1"/>
        <v>-2529.670516303242</v>
      </c>
      <c r="N45" s="21">
        <f>NPV(D22,L38:L45)</f>
        <v>-2529.670516303242</v>
      </c>
      <c r="O45" s="67">
        <f t="shared" si="0"/>
        <v>1</v>
      </c>
      <c r="P45" s="33">
        <f t="shared" si="2"/>
        <v>112.57421197123605</v>
      </c>
      <c r="Q45" s="33">
        <f t="shared" si="2"/>
        <v>0</v>
      </c>
      <c r="R45" s="43">
        <f>R44*(1+D27)</f>
        <v>15360</v>
      </c>
      <c r="S45" s="21">
        <f>R45*D23*P45/1000+R45*(1-D23)*D24/1000</f>
        <v>1729.1398958781858</v>
      </c>
      <c r="T45" s="64">
        <v>7</v>
      </c>
      <c r="U45" s="66">
        <f t="shared" si="3"/>
        <v>13919.926545517455</v>
      </c>
      <c r="V45" s="66">
        <f>(V44+(D76+D77))</f>
        <v>13336.200000000003</v>
      </c>
    </row>
    <row r="46" spans="1:22" ht="15.75" x14ac:dyDescent="0.25">
      <c r="A46" s="24">
        <v>8</v>
      </c>
      <c r="B46" s="33">
        <f>(1+D10)*B45</f>
        <v>113.69995409094841</v>
      </c>
      <c r="C46" s="24">
        <v>0</v>
      </c>
      <c r="D46" s="33">
        <f>(D13/1000*B46)+C46</f>
        <v>1819.1992654551746</v>
      </c>
      <c r="E46" s="117" t="str">
        <f t="shared" si="8"/>
        <v/>
      </c>
      <c r="F46" s="118" t="str">
        <f t="shared" si="4"/>
        <v/>
      </c>
      <c r="G46" s="318" t="str">
        <f t="shared" si="5"/>
        <v/>
      </c>
      <c r="H46" s="318" t="str">
        <f>IFERROR(ROUND(IF(E46="","",($H$38-SUM($F$38:F46))),2),"")</f>
        <v/>
      </c>
      <c r="I46" s="119"/>
      <c r="J46" s="120">
        <f>D25</f>
        <v>150</v>
      </c>
      <c r="K46" s="322">
        <f t="shared" si="6"/>
        <v>150</v>
      </c>
      <c r="L46" s="32">
        <f t="shared" si="7"/>
        <v>1596.4312948369675</v>
      </c>
      <c r="M46" s="70">
        <f t="shared" si="1"/>
        <v>-933.23922146627456</v>
      </c>
      <c r="N46" s="21">
        <f>NPV(D22,L38:L46)</f>
        <v>-933.23922146627456</v>
      </c>
      <c r="O46" s="67">
        <f t="shared" si="0"/>
        <v>1</v>
      </c>
      <c r="P46" s="33">
        <f t="shared" si="2"/>
        <v>113.69995409094841</v>
      </c>
      <c r="Q46" s="33">
        <f t="shared" si="2"/>
        <v>0</v>
      </c>
      <c r="R46" s="43">
        <f>R45*(1+D27)</f>
        <v>15360</v>
      </c>
      <c r="S46" s="21">
        <f>R46*D23*P46/1000+R46*(1-D23)*D24/1000</f>
        <v>1746.4312948369675</v>
      </c>
      <c r="T46" s="64">
        <v>8</v>
      </c>
      <c r="U46" s="66">
        <f t="shared" si="3"/>
        <v>15739.12581097263</v>
      </c>
      <c r="V46" s="66">
        <f>(V45+(D76+D77))</f>
        <v>14097.800000000003</v>
      </c>
    </row>
    <row r="47" spans="1:22" ht="15.75" x14ac:dyDescent="0.25">
      <c r="A47" s="24">
        <v>9</v>
      </c>
      <c r="B47" s="33">
        <f>(1+D10)*B46</f>
        <v>114.8369536318579</v>
      </c>
      <c r="C47" s="24">
        <v>0</v>
      </c>
      <c r="D47" s="33">
        <f>(D13/1000*B47)+C47</f>
        <v>1837.3912581097263</v>
      </c>
      <c r="E47" s="117" t="str">
        <f t="shared" si="8"/>
        <v/>
      </c>
      <c r="F47" s="118" t="str">
        <f t="shared" si="4"/>
        <v/>
      </c>
      <c r="G47" s="318" t="str">
        <f t="shared" si="5"/>
        <v/>
      </c>
      <c r="H47" s="318" t="str">
        <f>IFERROR(ROUND(IF(E47="","",($H$38-SUM($F$38:F47))),2),"")</f>
        <v/>
      </c>
      <c r="I47" s="119"/>
      <c r="J47" s="120">
        <f>D25</f>
        <v>150</v>
      </c>
      <c r="K47" s="322">
        <f t="shared" si="6"/>
        <v>150</v>
      </c>
      <c r="L47" s="32">
        <f t="shared" si="7"/>
        <v>1613.8956077853375</v>
      </c>
      <c r="M47" s="70">
        <f t="shared" si="1"/>
        <v>680.6563863190629</v>
      </c>
      <c r="N47" s="21">
        <f>NPV(D22,L38:L47)</f>
        <v>680.6563863190629</v>
      </c>
      <c r="O47" s="67">
        <f t="shared" si="0"/>
        <v>0</v>
      </c>
      <c r="P47" s="33">
        <f t="shared" si="2"/>
        <v>114.8369536318579</v>
      </c>
      <c r="Q47" s="33">
        <f t="shared" si="2"/>
        <v>0</v>
      </c>
      <c r="R47" s="43">
        <f>R46*(1+D27)</f>
        <v>15360</v>
      </c>
      <c r="S47" s="21">
        <f>R47*D23*P47/1000+R47*(1-D23)*D24/1000</f>
        <v>1763.8956077853375</v>
      </c>
      <c r="T47" s="64">
        <v>9</v>
      </c>
      <c r="U47" s="66">
        <f t="shared" si="3"/>
        <v>17576.517069082354</v>
      </c>
      <c r="V47" s="66">
        <f>(V46+(D76+D77))</f>
        <v>14859.400000000003</v>
      </c>
    </row>
    <row r="48" spans="1:22" ht="15.75" x14ac:dyDescent="0.25">
      <c r="A48" s="24">
        <v>10</v>
      </c>
      <c r="B48" s="33">
        <f>(1+D10)*B47</f>
        <v>115.98532316817648</v>
      </c>
      <c r="C48" s="24">
        <v>0</v>
      </c>
      <c r="D48" s="33">
        <f>(D13/1000*B48)+C48</f>
        <v>1855.7651706908237</v>
      </c>
      <c r="E48" s="117" t="str">
        <f t="shared" si="8"/>
        <v/>
      </c>
      <c r="F48" s="118" t="str">
        <f t="shared" si="4"/>
        <v/>
      </c>
      <c r="G48" s="318" t="str">
        <f t="shared" si="5"/>
        <v/>
      </c>
      <c r="H48" s="318" t="str">
        <f>IFERROR(ROUND(IF(E48="","",($H$38-SUM($F$38:F48))),2),"")</f>
        <v/>
      </c>
      <c r="I48" s="119"/>
      <c r="J48" s="120">
        <f>D25</f>
        <v>150</v>
      </c>
      <c r="K48" s="322">
        <f t="shared" si="6"/>
        <v>150</v>
      </c>
      <c r="L48" s="32">
        <f t="shared" si="7"/>
        <v>1631.5345638631909</v>
      </c>
      <c r="M48" s="70">
        <f t="shared" si="1"/>
        <v>2312.1909501822538</v>
      </c>
      <c r="N48" s="21">
        <f>NPV(D22,L38:L48)</f>
        <v>2312.1909501822538</v>
      </c>
      <c r="O48" s="67">
        <f t="shared" si="0"/>
        <v>0</v>
      </c>
      <c r="P48" s="33">
        <f t="shared" si="2"/>
        <v>115.98532316817648</v>
      </c>
      <c r="Q48" s="33">
        <f t="shared" si="2"/>
        <v>0</v>
      </c>
      <c r="R48" s="43">
        <f>R47*(1+D27)</f>
        <v>15360</v>
      </c>
      <c r="S48" s="21">
        <f>R48*D23*P48/1000+R48*(1-D23)*D24/1000</f>
        <v>1781.5345638631909</v>
      </c>
      <c r="T48" s="64">
        <v>10</v>
      </c>
      <c r="U48" s="66">
        <f t="shared" si="3"/>
        <v>19432.28223977318</v>
      </c>
      <c r="V48" s="66">
        <f>(V47+(D76+D77))</f>
        <v>15621.000000000004</v>
      </c>
    </row>
    <row r="49" spans="1:22" ht="15.75" x14ac:dyDescent="0.25">
      <c r="A49" s="24">
        <v>11</v>
      </c>
      <c r="B49" s="33">
        <f>(1+D10)*B48</f>
        <v>117.14517639985824</v>
      </c>
      <c r="C49" s="24">
        <v>0</v>
      </c>
      <c r="D49" s="33">
        <f>(D13/1000*B49)+C49</f>
        <v>1874.3228223977319</v>
      </c>
      <c r="E49" s="117" t="str">
        <f t="shared" si="8"/>
        <v/>
      </c>
      <c r="F49" s="118" t="str">
        <f t="shared" si="4"/>
        <v/>
      </c>
      <c r="G49" s="318" t="str">
        <f t="shared" si="5"/>
        <v/>
      </c>
      <c r="H49" s="318" t="str">
        <f>IFERROR(ROUND(IF(E49="","",($H$38-SUM($F$38:F49))),2),"")</f>
        <v/>
      </c>
      <c r="I49" s="119"/>
      <c r="J49" s="120">
        <f>D25</f>
        <v>150</v>
      </c>
      <c r="K49" s="322">
        <f t="shared" si="6"/>
        <v>150</v>
      </c>
      <c r="L49" s="32">
        <f t="shared" si="7"/>
        <v>1649.3499095018226</v>
      </c>
      <c r="M49" s="70">
        <f t="shared" si="1"/>
        <v>3961.5408596840762</v>
      </c>
      <c r="N49" s="21">
        <f>NPV(D22,L38:L49)</f>
        <v>3961.5408596840762</v>
      </c>
      <c r="O49" s="67">
        <f t="shared" si="0"/>
        <v>0</v>
      </c>
      <c r="P49" s="33">
        <f t="shared" si="2"/>
        <v>117.14517639985824</v>
      </c>
      <c r="Q49" s="33">
        <f t="shared" si="2"/>
        <v>0</v>
      </c>
      <c r="R49" s="43">
        <f>R48*(1+D27)</f>
        <v>15360</v>
      </c>
      <c r="S49" s="21">
        <f>R49*D23*P49/1000+R49*(1-D23)*D24/1000</f>
        <v>1799.3499095018226</v>
      </c>
      <c r="T49" s="64">
        <v>11</v>
      </c>
      <c r="U49" s="66">
        <f t="shared" si="3"/>
        <v>21306.605062170911</v>
      </c>
      <c r="V49" s="66">
        <f>(V48+(D76+D77))</f>
        <v>16382.600000000004</v>
      </c>
    </row>
    <row r="50" spans="1:22" ht="15.75" x14ac:dyDescent="0.25">
      <c r="A50" s="24">
        <v>12</v>
      </c>
      <c r="B50" s="33">
        <f>(1+D10)*B49</f>
        <v>118.31662816385683</v>
      </c>
      <c r="C50" s="24">
        <v>0</v>
      </c>
      <c r="D50" s="33">
        <f>(D13/1000*B50)+C50</f>
        <v>1893.0660506217093</v>
      </c>
      <c r="E50" s="117" t="str">
        <f t="shared" si="8"/>
        <v/>
      </c>
      <c r="F50" s="118" t="str">
        <f t="shared" si="4"/>
        <v/>
      </c>
      <c r="G50" s="318" t="str">
        <f t="shared" si="5"/>
        <v/>
      </c>
      <c r="H50" s="318" t="str">
        <f>IFERROR(ROUND(IF(E50="","",($H$38-SUM($F$38:F50))),2),"")</f>
        <v/>
      </c>
      <c r="I50" s="119"/>
      <c r="J50" s="120">
        <f>D25</f>
        <v>150</v>
      </c>
      <c r="K50" s="322">
        <f t="shared" si="6"/>
        <v>150</v>
      </c>
      <c r="L50" s="32">
        <f t="shared" si="7"/>
        <v>1667.3434085968408</v>
      </c>
      <c r="M50" s="70">
        <f t="shared" si="1"/>
        <v>5628.8842682809172</v>
      </c>
      <c r="N50" s="21">
        <f>NPV(D22,L38:L50)</f>
        <v>5628.8842682809172</v>
      </c>
      <c r="O50" s="67">
        <f t="shared" si="0"/>
        <v>0</v>
      </c>
      <c r="P50" s="33">
        <f t="shared" si="2"/>
        <v>118.31662816385683</v>
      </c>
      <c r="Q50" s="33">
        <f t="shared" si="2"/>
        <v>0</v>
      </c>
      <c r="R50" s="43">
        <f>R49*(1+D27)</f>
        <v>15360</v>
      </c>
      <c r="S50" s="21">
        <f>R50*D23*P50/1000+R50*(1-D23)*D24/1000</f>
        <v>1817.3434085968408</v>
      </c>
      <c r="T50" s="64">
        <v>12</v>
      </c>
      <c r="U50" s="66">
        <f t="shared" si="3"/>
        <v>23199.671112792621</v>
      </c>
      <c r="V50" s="66">
        <f>(V49+(D76+D77))</f>
        <v>17144.200000000004</v>
      </c>
    </row>
    <row r="51" spans="1:22" ht="15.75" x14ac:dyDescent="0.25">
      <c r="A51" s="24">
        <v>13</v>
      </c>
      <c r="B51" s="33">
        <f>(1+D10)*B50</f>
        <v>119.4997944454954</v>
      </c>
      <c r="C51" s="24">
        <v>0</v>
      </c>
      <c r="D51" s="33">
        <f>(D13/1000*B51)+C51</f>
        <v>1911.9967111279263</v>
      </c>
      <c r="E51" s="117" t="str">
        <f t="shared" si="8"/>
        <v/>
      </c>
      <c r="F51" s="118" t="str">
        <f t="shared" si="4"/>
        <v/>
      </c>
      <c r="G51" s="318" t="str">
        <f t="shared" si="5"/>
        <v/>
      </c>
      <c r="H51" s="318" t="str">
        <f>IFERROR(ROUND(IF(E51="","",($H$38-SUM($F$38:F51))),2),"")</f>
        <v/>
      </c>
      <c r="I51" s="119"/>
      <c r="J51" s="120">
        <f>D25</f>
        <v>150</v>
      </c>
      <c r="K51" s="322">
        <f t="shared" si="6"/>
        <v>150</v>
      </c>
      <c r="L51" s="32">
        <f t="shared" si="7"/>
        <v>1685.5168426828093</v>
      </c>
      <c r="M51" s="70">
        <f t="shared" si="1"/>
        <v>7314.4011109637268</v>
      </c>
      <c r="N51" s="21">
        <f>NPV(D22,L38:L51)</f>
        <v>7314.4011109637268</v>
      </c>
      <c r="O51" s="67">
        <f t="shared" si="0"/>
        <v>0</v>
      </c>
      <c r="P51" s="33">
        <f t="shared" si="2"/>
        <v>119.4997944454954</v>
      </c>
      <c r="Q51" s="33">
        <f t="shared" si="2"/>
        <v>0</v>
      </c>
      <c r="R51" s="43">
        <f>R50*(1+D27)</f>
        <v>15360</v>
      </c>
      <c r="S51" s="21">
        <f>R51*D23*P51/1000+R51*(1-D23)*D24/1000</f>
        <v>1835.5168426828093</v>
      </c>
      <c r="T51" s="64">
        <v>13</v>
      </c>
      <c r="U51" s="66">
        <f t="shared" si="3"/>
        <v>25111.667823920547</v>
      </c>
      <c r="V51" s="66">
        <f>(V50+(D76+D77))</f>
        <v>17905.800000000003</v>
      </c>
    </row>
    <row r="52" spans="1:22" ht="15.75" x14ac:dyDescent="0.25">
      <c r="A52" s="24">
        <v>14</v>
      </c>
      <c r="B52" s="33">
        <f>(1+D10)*B51</f>
        <v>120.69479238995035</v>
      </c>
      <c r="C52" s="24">
        <v>0</v>
      </c>
      <c r="D52" s="33">
        <f>(D13/1000*B52)+C52</f>
        <v>1931.1166782392056</v>
      </c>
      <c r="E52" s="117" t="str">
        <f t="shared" si="8"/>
        <v/>
      </c>
      <c r="F52" s="118" t="str">
        <f t="shared" si="4"/>
        <v/>
      </c>
      <c r="G52" s="318" t="str">
        <f t="shared" si="5"/>
        <v/>
      </c>
      <c r="H52" s="318" t="str">
        <f>IFERROR(ROUND(IF(E52="","",($H$38-SUM($F$38:F52))),2),"")</f>
        <v/>
      </c>
      <c r="I52" s="119"/>
      <c r="J52" s="120">
        <f>D25</f>
        <v>150</v>
      </c>
      <c r="K52" s="322">
        <f t="shared" si="6"/>
        <v>150</v>
      </c>
      <c r="L52" s="32">
        <f t="shared" si="7"/>
        <v>1703.8720111096372</v>
      </c>
      <c r="M52" s="70">
        <f t="shared" si="1"/>
        <v>9018.273122073364</v>
      </c>
      <c r="N52" s="21">
        <f>NPV(D22,L38:L52)</f>
        <v>9018.273122073364</v>
      </c>
      <c r="O52" s="67">
        <f t="shared" si="0"/>
        <v>0</v>
      </c>
      <c r="P52" s="33">
        <f t="shared" si="2"/>
        <v>120.69479238995035</v>
      </c>
      <c r="Q52" s="33">
        <f t="shared" si="2"/>
        <v>0</v>
      </c>
      <c r="R52" s="43">
        <f>R51*(1+D27)</f>
        <v>15360</v>
      </c>
      <c r="S52" s="21">
        <f>R52*D23*P52/1000+R52*(1-D23)*D24/1000</f>
        <v>1853.8720111096372</v>
      </c>
      <c r="T52" s="64">
        <v>14</v>
      </c>
      <c r="U52" s="66">
        <f t="shared" si="3"/>
        <v>27042.784502159753</v>
      </c>
      <c r="V52" s="66">
        <f>(V51+(D76+D77))</f>
        <v>18667.400000000001</v>
      </c>
    </row>
    <row r="53" spans="1:22" ht="15.75" x14ac:dyDescent="0.25">
      <c r="A53" s="24">
        <v>15</v>
      </c>
      <c r="B53" s="33">
        <f>(1+D10)*B52</f>
        <v>121.90174031384986</v>
      </c>
      <c r="C53" s="24">
        <v>0</v>
      </c>
      <c r="D53" s="33">
        <f>(D13/1000*B53)+C53</f>
        <v>1950.4278450215977</v>
      </c>
      <c r="E53" s="117" t="str">
        <f t="shared" si="8"/>
        <v/>
      </c>
      <c r="F53" s="118" t="str">
        <f t="shared" si="4"/>
        <v/>
      </c>
      <c r="G53" s="318" t="str">
        <f t="shared" si="5"/>
        <v/>
      </c>
      <c r="H53" s="318" t="str">
        <f>IFERROR(ROUND(IF(E53="","",($H$38-SUM($F$38:F53))),2),"")</f>
        <v/>
      </c>
      <c r="I53" s="119"/>
      <c r="J53" s="120">
        <f>D25</f>
        <v>150</v>
      </c>
      <c r="K53" s="322">
        <f t="shared" si="6"/>
        <v>150</v>
      </c>
      <c r="L53" s="32">
        <f t="shared" si="7"/>
        <v>1722.4107312207339</v>
      </c>
      <c r="M53" s="70">
        <f t="shared" si="1"/>
        <v>10740.683853294098</v>
      </c>
      <c r="N53" s="21">
        <f>NPV(D22,L38:L53)</f>
        <v>10740.683853294098</v>
      </c>
      <c r="O53" s="67">
        <f t="shared" si="0"/>
        <v>0</v>
      </c>
      <c r="P53" s="33">
        <f t="shared" si="2"/>
        <v>121.90174031384986</v>
      </c>
      <c r="Q53" s="33">
        <f t="shared" si="2"/>
        <v>0</v>
      </c>
      <c r="R53" s="43">
        <f>R52*(1+D27)</f>
        <v>15360</v>
      </c>
      <c r="S53" s="21">
        <f>R53*D23*P53/1000+R53*(1-D23)*D24/1000</f>
        <v>1872.4107312207339</v>
      </c>
      <c r="T53" s="64">
        <v>15</v>
      </c>
      <c r="U53" s="66">
        <f t="shared" si="3"/>
        <v>28993.21234718135</v>
      </c>
      <c r="V53" s="66">
        <f>(V52+(D76+D77))</f>
        <v>19429</v>
      </c>
    </row>
    <row r="54" spans="1:22" ht="15.75" x14ac:dyDescent="0.25">
      <c r="A54" s="24">
        <v>16</v>
      </c>
      <c r="B54" s="33">
        <f>(1+D10)*B53</f>
        <v>123.12075771698835</v>
      </c>
      <c r="C54" s="24">
        <v>0</v>
      </c>
      <c r="D54" s="33">
        <f>(D13/1000*B54)+C54</f>
        <v>1969.9321234718136</v>
      </c>
      <c r="E54" s="117" t="str">
        <f t="shared" si="8"/>
        <v/>
      </c>
      <c r="F54" s="118" t="str">
        <f t="shared" si="4"/>
        <v/>
      </c>
      <c r="G54" s="318" t="str">
        <f t="shared" si="5"/>
        <v/>
      </c>
      <c r="H54" s="318" t="str">
        <f>IFERROR(ROUND(IF(E54="","",($H$38-SUM($F$38:F54))),2),"")</f>
        <v/>
      </c>
      <c r="I54" s="119"/>
      <c r="J54" s="120">
        <f>D25</f>
        <v>150</v>
      </c>
      <c r="K54" s="322">
        <f t="shared" si="6"/>
        <v>150</v>
      </c>
      <c r="L54" s="32">
        <f t="shared" si="7"/>
        <v>1741.1348385329409</v>
      </c>
      <c r="M54" s="70">
        <f t="shared" si="1"/>
        <v>12481.818691827038</v>
      </c>
      <c r="N54" s="21">
        <f>NPV(D22,L38:L54)</f>
        <v>12481.818691827038</v>
      </c>
      <c r="O54" s="67">
        <f t="shared" si="0"/>
        <v>0</v>
      </c>
      <c r="P54" s="33">
        <f t="shared" si="2"/>
        <v>123.12075771698835</v>
      </c>
      <c r="Q54" s="33">
        <f t="shared" si="2"/>
        <v>0</v>
      </c>
      <c r="R54" s="43">
        <f>R53*(1+D27)</f>
        <v>15360</v>
      </c>
      <c r="S54" s="21">
        <f>R54*D23*P54/1000+R54*(1-D23)*D24/1000</f>
        <v>1891.1348385329409</v>
      </c>
      <c r="T54" s="64">
        <v>16</v>
      </c>
      <c r="U54" s="66">
        <f t="shared" si="3"/>
        <v>30963.144470653162</v>
      </c>
      <c r="V54" s="66">
        <f>(V53+(D76+D77))</f>
        <v>20190.599999999999</v>
      </c>
    </row>
    <row r="55" spans="1:22" ht="15.75" x14ac:dyDescent="0.25">
      <c r="A55" s="24">
        <v>17</v>
      </c>
      <c r="B55" s="33">
        <f>(1+D10)*B54</f>
        <v>124.35196529415823</v>
      </c>
      <c r="C55" s="24">
        <v>0</v>
      </c>
      <c r="D55" s="33">
        <f>(D13/1000*B55)+C55</f>
        <v>1989.6314447065317</v>
      </c>
      <c r="E55" s="117" t="str">
        <f t="shared" si="8"/>
        <v/>
      </c>
      <c r="F55" s="118" t="str">
        <f t="shared" si="4"/>
        <v/>
      </c>
      <c r="G55" s="318" t="str">
        <f t="shared" si="5"/>
        <v/>
      </c>
      <c r="H55" s="318" t="str">
        <f>IFERROR(ROUND(IF(E55="","",($H$38-SUM($F$38:F55))),2),"")</f>
        <v/>
      </c>
      <c r="I55" s="119"/>
      <c r="J55" s="120">
        <f>D25</f>
        <v>150</v>
      </c>
      <c r="K55" s="322">
        <f t="shared" si="6"/>
        <v>150</v>
      </c>
      <c r="L55" s="32">
        <f t="shared" si="7"/>
        <v>1760.0461869182705</v>
      </c>
      <c r="M55" s="70">
        <f t="shared" si="1"/>
        <v>14241.864878745309</v>
      </c>
      <c r="N55" s="21">
        <f>NPV(D22,L38:L55)</f>
        <v>14241.864878745309</v>
      </c>
      <c r="O55" s="67">
        <f t="shared" si="0"/>
        <v>0</v>
      </c>
      <c r="P55" s="33">
        <f t="shared" ref="P55:Q56" si="9">(1+$D$10)*P54</f>
        <v>124.35196529415823</v>
      </c>
      <c r="Q55" s="33">
        <f t="shared" si="9"/>
        <v>0</v>
      </c>
      <c r="R55" s="43">
        <f>R54*(1+D27)</f>
        <v>15360</v>
      </c>
      <c r="S55" s="21">
        <f>R55*D23*P55/1000+R55*(1-D23)*D24/1000</f>
        <v>1910.0461869182705</v>
      </c>
      <c r="T55" s="64">
        <v>17</v>
      </c>
      <c r="U55" s="66">
        <f t="shared" si="3"/>
        <v>32952.775915359693</v>
      </c>
      <c r="V55" s="66">
        <f>(V54+(D76+D77))</f>
        <v>20952.199999999997</v>
      </c>
    </row>
    <row r="56" spans="1:22" ht="15.75" x14ac:dyDescent="0.25">
      <c r="A56" s="24">
        <v>18</v>
      </c>
      <c r="B56" s="33">
        <f>(1+D10)*B55</f>
        <v>125.59548494709982</v>
      </c>
      <c r="C56" s="24">
        <v>0</v>
      </c>
      <c r="D56" s="33">
        <f>(D13/1000*B56)+C56</f>
        <v>2009.5277591535971</v>
      </c>
      <c r="E56" s="117" t="str">
        <f t="shared" si="8"/>
        <v/>
      </c>
      <c r="F56" s="118" t="str">
        <f t="shared" si="4"/>
        <v/>
      </c>
      <c r="G56" s="318" t="str">
        <f t="shared" si="5"/>
        <v/>
      </c>
      <c r="H56" s="318" t="str">
        <f>IFERROR(ROUND(IF(E56="","",($H$38-SUM($F$38:F56))),2),"")</f>
        <v/>
      </c>
      <c r="I56" s="126"/>
      <c r="J56" s="127">
        <f>D25</f>
        <v>150</v>
      </c>
      <c r="K56" s="322">
        <f t="shared" si="6"/>
        <v>150</v>
      </c>
      <c r="L56" s="32">
        <f t="shared" si="7"/>
        <v>1779.1466487874534</v>
      </c>
      <c r="M56" s="70">
        <f t="shared" si="1"/>
        <v>16021.011527532763</v>
      </c>
      <c r="N56" s="21">
        <f>NPV(D22,L38:L56)</f>
        <v>16021.011527532763</v>
      </c>
      <c r="O56" s="67">
        <f t="shared" si="0"/>
        <v>0</v>
      </c>
      <c r="P56" s="33">
        <f t="shared" si="9"/>
        <v>125.59548494709982</v>
      </c>
      <c r="Q56" s="33">
        <f t="shared" si="9"/>
        <v>0</v>
      </c>
      <c r="R56" s="43">
        <f>R55*(1+D27)</f>
        <v>15360</v>
      </c>
      <c r="S56" s="21">
        <f>R56*D23*P56/1000+R56*(1-D23)*D24/1000</f>
        <v>1929.1466487874534</v>
      </c>
      <c r="T56" s="64">
        <v>18</v>
      </c>
      <c r="U56" s="66">
        <f t="shared" si="3"/>
        <v>34962.303674513292</v>
      </c>
      <c r="V56" s="66">
        <f>(V55+(D76+D77))</f>
        <v>21713.799999999996</v>
      </c>
    </row>
    <row r="57" spans="1:22" ht="15.75" x14ac:dyDescent="0.25">
      <c r="A57" s="24">
        <v>19</v>
      </c>
      <c r="B57" s="33">
        <f>(1+D10)*B56</f>
        <v>126.85143979657082</v>
      </c>
      <c r="C57" s="24">
        <v>0</v>
      </c>
      <c r="D57" s="33">
        <f>(D13/1000*B57)+C57</f>
        <v>2029.623036745133</v>
      </c>
      <c r="E57" s="117" t="str">
        <f t="shared" si="8"/>
        <v/>
      </c>
      <c r="F57" s="118" t="str">
        <f t="shared" si="4"/>
        <v/>
      </c>
      <c r="G57" s="318" t="str">
        <f t="shared" si="5"/>
        <v/>
      </c>
      <c r="H57" s="318" t="str">
        <f>IFERROR(ROUND(IF(E57="","",($H$38-SUM($F$38:F57))),2),"")</f>
        <v/>
      </c>
      <c r="I57" s="126"/>
      <c r="J57" s="127">
        <f>D25</f>
        <v>150</v>
      </c>
      <c r="K57" s="322">
        <f t="shared" si="6"/>
        <v>150</v>
      </c>
      <c r="L57" s="32">
        <f t="shared" si="7"/>
        <v>1798.4381152753278</v>
      </c>
      <c r="M57" s="70">
        <f t="shared" si="1"/>
        <v>17819.449642808089</v>
      </c>
      <c r="N57" s="21">
        <f>NPV(D22,L38:L57)</f>
        <v>17819.449642808089</v>
      </c>
      <c r="O57" s="67">
        <f t="shared" si="0"/>
        <v>0</v>
      </c>
      <c r="P57" s="33">
        <f>(1+$D$10)*P56</f>
        <v>126.85143979657082</v>
      </c>
      <c r="Q57" s="33">
        <f>(1+$D$10)*Q56</f>
        <v>0</v>
      </c>
      <c r="R57" s="43">
        <f>R56*(1+D27)</f>
        <v>15360</v>
      </c>
      <c r="S57" s="21">
        <f>R57*D23*P57/1000+R57*(1-D23)*D24/1000</f>
        <v>1948.4381152753278</v>
      </c>
      <c r="T57" s="64">
        <v>19</v>
      </c>
      <c r="U57" s="66">
        <f t="shared" si="3"/>
        <v>36991.926711258428</v>
      </c>
      <c r="V57" s="66">
        <f>(V56+(D76+D77))</f>
        <v>22475.399999999994</v>
      </c>
    </row>
    <row r="58" spans="1:22" ht="15.75" x14ac:dyDescent="0.25">
      <c r="A58" s="24">
        <v>20</v>
      </c>
      <c r="B58" s="33">
        <f>(1+D10)*B57</f>
        <v>128.11995419453652</v>
      </c>
      <c r="C58" s="24">
        <v>0</v>
      </c>
      <c r="D58" s="33">
        <f>(D13/1000*B58)+C58</f>
        <v>2049.9192671125843</v>
      </c>
      <c r="E58" s="117" t="str">
        <f t="shared" si="8"/>
        <v/>
      </c>
      <c r="F58" s="118" t="str">
        <f t="shared" si="4"/>
        <v/>
      </c>
      <c r="G58" s="318" t="str">
        <f t="shared" si="5"/>
        <v/>
      </c>
      <c r="H58" s="318" t="str">
        <f>IFERROR(ROUND(IF(E58="","",($H$38-SUM($F$38:F58))),2),"")</f>
        <v/>
      </c>
      <c r="I58" s="119"/>
      <c r="J58" s="120">
        <f>D25</f>
        <v>150</v>
      </c>
      <c r="K58" s="322">
        <f t="shared" si="6"/>
        <v>150</v>
      </c>
      <c r="L58" s="32">
        <f t="shared" si="7"/>
        <v>1817.9224964280809</v>
      </c>
      <c r="M58" s="70">
        <f t="shared" si="1"/>
        <v>19637.372139236169</v>
      </c>
      <c r="N58" s="21">
        <f>NPV(D22,L38:L58)</f>
        <v>19637.372139236169</v>
      </c>
      <c r="O58" s="67">
        <f t="shared" si="0"/>
        <v>0</v>
      </c>
      <c r="P58" s="33">
        <f t="shared" ref="P58:Q63" si="10">(1+$D$10)*P57</f>
        <v>128.11995419453652</v>
      </c>
      <c r="Q58" s="33">
        <f t="shared" si="10"/>
        <v>0</v>
      </c>
      <c r="R58" s="43">
        <f>R57*(1+D27)</f>
        <v>15360</v>
      </c>
      <c r="S58" s="21">
        <f>R58*D23*P58/1000+R58*(1-D23)*D24/1000</f>
        <v>1967.9224964280809</v>
      </c>
      <c r="T58" s="64">
        <v>20</v>
      </c>
      <c r="U58" s="66">
        <f t="shared" si="3"/>
        <v>39041.845978371013</v>
      </c>
      <c r="V58" s="66">
        <f>(V57+(D76+D77))</f>
        <v>23236.999999999993</v>
      </c>
    </row>
    <row r="59" spans="1:22" ht="15.75" x14ac:dyDescent="0.25">
      <c r="A59" s="24">
        <v>21</v>
      </c>
      <c r="B59" s="33">
        <f>(1+D10)*B58</f>
        <v>129.40115373648189</v>
      </c>
      <c r="C59" s="24">
        <v>0</v>
      </c>
      <c r="D59" s="33">
        <f>(D13/1000*B59)+C59</f>
        <v>2070.4184597837102</v>
      </c>
      <c r="E59" s="117"/>
      <c r="F59" s="118"/>
      <c r="G59" s="318" t="s">
        <v>4</v>
      </c>
      <c r="H59" s="318"/>
      <c r="I59" s="126"/>
      <c r="J59" s="127">
        <f>D25</f>
        <v>150</v>
      </c>
      <c r="K59" s="322">
        <f t="shared" si="6"/>
        <v>150</v>
      </c>
      <c r="L59" s="32">
        <f t="shared" si="7"/>
        <v>1837.6017213923619</v>
      </c>
      <c r="M59" s="70">
        <f t="shared" si="1"/>
        <v>21474.973860628532</v>
      </c>
      <c r="N59" s="21">
        <f>NPV(D22,L38:L59)</f>
        <v>21474.973860628532</v>
      </c>
      <c r="O59" s="67">
        <f t="shared" si="0"/>
        <v>0</v>
      </c>
      <c r="P59" s="33">
        <f t="shared" si="10"/>
        <v>129.40115373648189</v>
      </c>
      <c r="Q59" s="33">
        <f t="shared" si="10"/>
        <v>0</v>
      </c>
      <c r="R59" s="43">
        <f>R58*(1+D27)</f>
        <v>15360</v>
      </c>
      <c r="S59" s="21">
        <f>R59*D23*P59/1000+R59*(1-D23)*D24/1000</f>
        <v>1987.6017213923619</v>
      </c>
      <c r="T59" s="64">
        <v>21</v>
      </c>
      <c r="U59" s="66">
        <f t="shared" si="3"/>
        <v>41112.264438154722</v>
      </c>
      <c r="V59" s="66">
        <f>(V58+(D76+D77))</f>
        <v>23998.599999999991</v>
      </c>
    </row>
    <row r="60" spans="1:22" ht="15.75" x14ac:dyDescent="0.25">
      <c r="A60" s="24">
        <v>22</v>
      </c>
      <c r="B60" s="33">
        <f>(1+D10)*B59</f>
        <v>130.6951652738467</v>
      </c>
      <c r="C60" s="24">
        <v>0</v>
      </c>
      <c r="D60" s="33">
        <f>(D13/1000*B60)+C60</f>
        <v>2091.1226443815472</v>
      </c>
      <c r="E60" s="117"/>
      <c r="F60" s="118"/>
      <c r="G60" s="318" t="s">
        <v>4</v>
      </c>
      <c r="H60" s="318"/>
      <c r="I60" s="126"/>
      <c r="J60" s="127">
        <f>D25</f>
        <v>150</v>
      </c>
      <c r="K60" s="322">
        <f t="shared" si="6"/>
        <v>150</v>
      </c>
      <c r="L60" s="32">
        <f t="shared" si="7"/>
        <v>1857.4777386062854</v>
      </c>
      <c r="M60" s="70">
        <f t="shared" si="1"/>
        <v>23332.451599234817</v>
      </c>
      <c r="N60" s="21">
        <f>NPV(D22,L38:L60)</f>
        <v>23332.451599234817</v>
      </c>
      <c r="O60" s="67">
        <f t="shared" si="0"/>
        <v>0</v>
      </c>
      <c r="P60" s="33">
        <f t="shared" si="10"/>
        <v>130.6951652738467</v>
      </c>
      <c r="Q60" s="33">
        <f t="shared" si="10"/>
        <v>0</v>
      </c>
      <c r="R60" s="43">
        <f>R59*(1+D27)</f>
        <v>15360</v>
      </c>
      <c r="S60" s="21">
        <f>R60*D23*P60/1000+R60*(1-D23)*D24/1000</f>
        <v>2007.4777386062854</v>
      </c>
      <c r="T60" s="64">
        <v>22</v>
      </c>
      <c r="U60" s="66">
        <f t="shared" si="3"/>
        <v>43203.387082536268</v>
      </c>
      <c r="V60" s="66">
        <f>(V59+(D76+D77))</f>
        <v>24760.19999999999</v>
      </c>
    </row>
    <row r="61" spans="1:22" ht="15.75" x14ac:dyDescent="0.25">
      <c r="A61" s="24">
        <v>23</v>
      </c>
      <c r="B61" s="33">
        <f>(1+D10)*B60</f>
        <v>132.00211692658516</v>
      </c>
      <c r="C61" s="24">
        <v>0</v>
      </c>
      <c r="D61" s="33">
        <f>(D13/1000*B61)+C61</f>
        <v>2112.0338708253626</v>
      </c>
      <c r="E61" s="117"/>
      <c r="F61" s="136"/>
      <c r="G61" s="319" t="s">
        <v>4</v>
      </c>
      <c r="H61" s="318"/>
      <c r="I61" s="126"/>
      <c r="J61" s="127">
        <f>D25</f>
        <v>150</v>
      </c>
      <c r="K61" s="322">
        <f t="shared" si="6"/>
        <v>150</v>
      </c>
      <c r="L61" s="32">
        <f t="shared" si="7"/>
        <v>1877.5525159923482</v>
      </c>
      <c r="M61" s="70">
        <f t="shared" si="1"/>
        <v>25210.004115227166</v>
      </c>
      <c r="N61" s="21">
        <f>NPV(D22,L38:L61)</f>
        <v>25210.004115227166</v>
      </c>
      <c r="O61" s="67">
        <f t="shared" si="0"/>
        <v>0</v>
      </c>
      <c r="P61" s="33">
        <f t="shared" si="10"/>
        <v>132.00211692658516</v>
      </c>
      <c r="Q61" s="33">
        <f t="shared" si="10"/>
        <v>0</v>
      </c>
      <c r="R61" s="43">
        <f>R60*(1+D27)</f>
        <v>15360</v>
      </c>
      <c r="S61" s="21">
        <f>R61*D23*P61/1000+R61*(1-D23)*D24/1000</f>
        <v>2027.5525159923482</v>
      </c>
      <c r="T61" s="64">
        <v>23</v>
      </c>
      <c r="U61" s="66">
        <f t="shared" si="3"/>
        <v>45315.42095336163</v>
      </c>
      <c r="V61" s="66">
        <f>(V60+(D76+D77))</f>
        <v>25521.799999999988</v>
      </c>
    </row>
    <row r="62" spans="1:22" ht="15.75" x14ac:dyDescent="0.25">
      <c r="A62" s="24">
        <v>24</v>
      </c>
      <c r="B62" s="33">
        <f>(1+$D$10)*B61</f>
        <v>133.32213809585102</v>
      </c>
      <c r="C62" s="24">
        <v>0</v>
      </c>
      <c r="D62" s="137">
        <f>($D$13/1000*B62)+C62</f>
        <v>2133.1542095336163</v>
      </c>
      <c r="E62" s="138"/>
      <c r="F62" s="139"/>
      <c r="G62" s="320" t="s">
        <v>4</v>
      </c>
      <c r="H62" s="321"/>
      <c r="I62" s="126"/>
      <c r="J62" s="140">
        <f>D25</f>
        <v>150</v>
      </c>
      <c r="K62" s="322">
        <f t="shared" si="6"/>
        <v>150</v>
      </c>
      <c r="L62" s="32">
        <f t="shared" si="7"/>
        <v>1897.8280411522717</v>
      </c>
      <c r="M62" s="70">
        <f t="shared" si="1"/>
        <v>27107.832156379438</v>
      </c>
      <c r="N62" s="21">
        <f>NPV($D$22,$L$38:L62)</f>
        <v>27107.832156379438</v>
      </c>
      <c r="O62" s="67">
        <f t="shared" si="0"/>
        <v>0</v>
      </c>
      <c r="P62" s="33">
        <f t="shared" si="10"/>
        <v>133.32213809585102</v>
      </c>
      <c r="Q62" s="33">
        <f t="shared" si="10"/>
        <v>0</v>
      </c>
      <c r="R62" s="43">
        <f>R61*(1+$D$27)</f>
        <v>15360</v>
      </c>
      <c r="S62" s="21">
        <f>R62*D23*P62/1000+R62*(1-D23)*D24/1000</f>
        <v>2047.8280411522717</v>
      </c>
      <c r="T62" s="64">
        <v>24</v>
      </c>
      <c r="U62" s="66">
        <f t="shared" si="3"/>
        <v>47448.575162895249</v>
      </c>
      <c r="V62" s="66">
        <f>(V61+(D76+D77))</f>
        <v>26283.399999999987</v>
      </c>
    </row>
    <row r="63" spans="1:22" ht="15.75" x14ac:dyDescent="0.25">
      <c r="A63" s="24">
        <v>25</v>
      </c>
      <c r="B63" s="33">
        <f>(1+$D$10)*B62</f>
        <v>134.65535947680954</v>
      </c>
      <c r="C63" s="24">
        <v>0</v>
      </c>
      <c r="D63" s="137">
        <f>($D$13/1000*B63)+C63</f>
        <v>2154.4857516289526</v>
      </c>
      <c r="E63" s="138"/>
      <c r="F63" s="139"/>
      <c r="G63" s="320" t="s">
        <v>4</v>
      </c>
      <c r="H63" s="321"/>
      <c r="I63" s="126"/>
      <c r="J63" s="140">
        <f>D25</f>
        <v>150</v>
      </c>
      <c r="K63" s="322">
        <f t="shared" si="6"/>
        <v>150</v>
      </c>
      <c r="L63" s="32">
        <f t="shared" si="7"/>
        <v>1918.3063215637944</v>
      </c>
      <c r="M63" s="70">
        <f t="shared" si="1"/>
        <v>29026.138477943234</v>
      </c>
      <c r="N63" s="21">
        <f>NPV($D$22,$L$38:L63)</f>
        <v>29026.138477943234</v>
      </c>
      <c r="O63" s="67">
        <f t="shared" si="0"/>
        <v>0</v>
      </c>
      <c r="P63" s="33">
        <f t="shared" si="10"/>
        <v>134.65535947680954</v>
      </c>
      <c r="Q63" s="33">
        <f t="shared" si="10"/>
        <v>0</v>
      </c>
      <c r="R63" s="43">
        <f>R62*(1+$D$27)</f>
        <v>15360</v>
      </c>
      <c r="S63" s="21">
        <f>R63*D23*P63/1000+R63*(1-D23)*D24/1000</f>
        <v>2068.3063215637944</v>
      </c>
      <c r="T63" s="64">
        <v>25</v>
      </c>
      <c r="U63" s="66">
        <f t="shared" si="3"/>
        <v>49603.060914524205</v>
      </c>
      <c r="V63" s="66">
        <f>(V62+(D76+D77))</f>
        <v>27044.999999999985</v>
      </c>
    </row>
    <row r="64" spans="1:22" ht="15.75" x14ac:dyDescent="0.25">
      <c r="A64" s="12"/>
      <c r="B64" s="12"/>
      <c r="C64" s="12"/>
      <c r="D64" s="128">
        <f>SUM(D38:D63)</f>
        <v>49603.060914524205</v>
      </c>
      <c r="E64" s="129"/>
      <c r="F64" s="130" t="s">
        <v>4</v>
      </c>
      <c r="G64" s="56">
        <f>SUM(G38:G63)</f>
        <v>225</v>
      </c>
      <c r="H64" s="130"/>
      <c r="I64" s="130"/>
      <c r="J64" s="56">
        <f>SUM(J38:J63)</f>
        <v>3750</v>
      </c>
      <c r="K64" s="56">
        <f>SUM(K38:K63)</f>
        <v>16980</v>
      </c>
      <c r="L64" s="131"/>
      <c r="M64" s="34"/>
      <c r="N64" s="100"/>
      <c r="O64" s="35">
        <f>SUM(O38:O63)</f>
        <v>8</v>
      </c>
      <c r="P64" s="36">
        <f>AVERAGE(P38:P63)</f>
        <v>119.23812719837549</v>
      </c>
      <c r="Q64" s="36">
        <f>AVERAGE(Q38:Q63)</f>
        <v>0</v>
      </c>
      <c r="R64" s="37">
        <f>SUM(R38:R63)</f>
        <v>399360</v>
      </c>
      <c r="S64" s="132">
        <f>NPV(S22,S38:S63)</f>
        <v>46006.138477943234</v>
      </c>
      <c r="T64" s="100"/>
      <c r="U64" s="100"/>
      <c r="V64" s="100"/>
    </row>
    <row r="65" spans="1:6" ht="15.6" customHeight="1" x14ac:dyDescent="0.25">
      <c r="A65" s="8"/>
    </row>
    <row r="66" spans="1:6" s="96" customFormat="1" ht="15.6" customHeight="1" x14ac:dyDescent="0.25">
      <c r="A66" s="8"/>
    </row>
    <row r="67" spans="1:6" s="96" customFormat="1" ht="15.6" customHeight="1" x14ac:dyDescent="0.25">
      <c r="A67" s="8"/>
    </row>
    <row r="68" spans="1:6" ht="15.75" x14ac:dyDescent="0.25">
      <c r="A68" s="22" t="s">
        <v>76</v>
      </c>
      <c r="B68" s="12"/>
      <c r="C68" s="12"/>
      <c r="D68" s="12"/>
    </row>
    <row r="69" spans="1:6" ht="15.75" x14ac:dyDescent="0.25">
      <c r="A69" s="365" t="s">
        <v>77</v>
      </c>
      <c r="B69" s="366"/>
      <c r="C69" s="367"/>
      <c r="D69" s="19">
        <f>G110</f>
        <v>15360</v>
      </c>
      <c r="E69" t="s">
        <v>27</v>
      </c>
      <c r="F69" t="s">
        <v>4</v>
      </c>
    </row>
    <row r="70" spans="1:6" ht="15.75" x14ac:dyDescent="0.25">
      <c r="A70" s="368" t="s">
        <v>78</v>
      </c>
      <c r="B70" s="369"/>
      <c r="C70" s="370"/>
      <c r="D70" s="98">
        <v>1</v>
      </c>
      <c r="F70" t="s">
        <v>79</v>
      </c>
    </row>
    <row r="71" spans="1:6" ht="15.75" x14ac:dyDescent="0.25">
      <c r="A71" s="365" t="s">
        <v>80</v>
      </c>
      <c r="B71" s="366"/>
      <c r="C71" s="367"/>
      <c r="D71" s="23">
        <f>(H110/G110)</f>
        <v>0</v>
      </c>
    </row>
    <row r="72" spans="1:6" ht="15.75" x14ac:dyDescent="0.25">
      <c r="A72" s="371" t="s">
        <v>81</v>
      </c>
      <c r="B72" s="372"/>
      <c r="C72" s="373"/>
      <c r="D72" s="282">
        <f>C110</f>
        <v>16000.000000000002</v>
      </c>
      <c r="E72" t="s">
        <v>82</v>
      </c>
    </row>
    <row r="73" spans="1:6" ht="15.75" x14ac:dyDescent="0.25">
      <c r="A73" s="368" t="s">
        <v>84</v>
      </c>
      <c r="B73" s="338"/>
      <c r="C73" s="339"/>
      <c r="D73" s="283">
        <v>25</v>
      </c>
      <c r="E73" t="s">
        <v>85</v>
      </c>
      <c r="F73" t="s">
        <v>4</v>
      </c>
    </row>
    <row r="74" spans="1:6" ht="15.75" x14ac:dyDescent="0.25">
      <c r="A74" s="368" t="s">
        <v>86</v>
      </c>
      <c r="B74" s="338"/>
      <c r="C74" s="339"/>
      <c r="D74" s="284">
        <f>I110/C110</f>
        <v>0.95999999999999985</v>
      </c>
      <c r="E74" t="s">
        <v>4</v>
      </c>
      <c r="F74" t="s">
        <v>4</v>
      </c>
    </row>
    <row r="75" spans="1:6" ht="15.75" x14ac:dyDescent="0.25">
      <c r="A75" s="374" t="s">
        <v>230</v>
      </c>
      <c r="B75" s="350"/>
      <c r="C75" s="358"/>
      <c r="D75" s="290">
        <f>D19-D19*D20</f>
        <v>13005</v>
      </c>
      <c r="F75" s="100" t="s">
        <v>233</v>
      </c>
    </row>
    <row r="76" spans="1:6" ht="15.75" x14ac:dyDescent="0.25">
      <c r="A76" s="375" t="s">
        <v>121</v>
      </c>
      <c r="B76" s="375"/>
      <c r="C76" s="375"/>
      <c r="D76" s="65">
        <f>(M110)*D28/100</f>
        <v>672</v>
      </c>
    </row>
    <row r="77" spans="1:6" s="100" customFormat="1" ht="15.75" x14ac:dyDescent="0.25">
      <c r="A77" s="380" t="s">
        <v>140</v>
      </c>
      <c r="B77" s="381"/>
      <c r="C77" s="382"/>
      <c r="D77" s="108">
        <f>(L110)*D28/100</f>
        <v>89.599999999999866</v>
      </c>
    </row>
    <row r="78" spans="1:6" ht="15.75" x14ac:dyDescent="0.25">
      <c r="A78" s="376" t="s">
        <v>108</v>
      </c>
      <c r="B78" s="376"/>
      <c r="C78" s="376"/>
      <c r="D78" s="45">
        <f>L110*D73</f>
        <v>15999.999999999978</v>
      </c>
      <c r="E78" t="s">
        <v>27</v>
      </c>
    </row>
    <row r="79" spans="1:6" ht="15.75" x14ac:dyDescent="0.25">
      <c r="A79" s="376" t="s">
        <v>87</v>
      </c>
      <c r="B79" s="376"/>
      <c r="C79" s="376"/>
      <c r="D79" s="288">
        <f>(M110*D73)</f>
        <v>120000</v>
      </c>
      <c r="E79" t="s">
        <v>27</v>
      </c>
      <c r="F79" t="s">
        <v>4</v>
      </c>
    </row>
    <row r="80" spans="1:6" x14ac:dyDescent="0.25">
      <c r="E80" t="s">
        <v>4</v>
      </c>
    </row>
    <row r="81" spans="1:9" ht="16.5" thickBot="1" x14ac:dyDescent="0.3">
      <c r="A81" s="25" t="s">
        <v>88</v>
      </c>
      <c r="B81" s="12"/>
      <c r="C81" s="12"/>
      <c r="D81" s="12"/>
      <c r="E81" t="s">
        <v>4</v>
      </c>
      <c r="F81" t="s">
        <v>4</v>
      </c>
    </row>
    <row r="82" spans="1:9" ht="15.75" x14ac:dyDescent="0.25">
      <c r="A82" s="377" t="s">
        <v>89</v>
      </c>
      <c r="B82" s="378"/>
      <c r="C82" s="379"/>
      <c r="D82" s="26">
        <f>N63</f>
        <v>29026.138477943234</v>
      </c>
    </row>
    <row r="83" spans="1:9" ht="15.75" x14ac:dyDescent="0.25">
      <c r="A83" s="364" t="s">
        <v>90</v>
      </c>
      <c r="B83" s="338"/>
      <c r="C83" s="339"/>
      <c r="D83" s="27">
        <f>O64</f>
        <v>8</v>
      </c>
    </row>
    <row r="84" spans="1:9" ht="15.75" x14ac:dyDescent="0.25">
      <c r="A84" s="364" t="s">
        <v>107</v>
      </c>
      <c r="B84" s="338"/>
      <c r="C84" s="339"/>
      <c r="D84" s="28">
        <f>D75/J110</f>
        <v>8.0636160714285694</v>
      </c>
    </row>
    <row r="85" spans="1:9" ht="15.75" x14ac:dyDescent="0.25">
      <c r="A85" s="364" t="s">
        <v>38</v>
      </c>
      <c r="B85" s="385"/>
      <c r="C85" s="386"/>
      <c r="D85" s="141">
        <f>IRR(L38:L63,0.1)</f>
        <v>0.12946865421536669</v>
      </c>
      <c r="E85" t="s">
        <v>4</v>
      </c>
      <c r="F85" t="s">
        <v>4</v>
      </c>
    </row>
    <row r="86" spans="1:9" ht="16.5" thickBot="1" x14ac:dyDescent="0.3">
      <c r="A86" s="387" t="s">
        <v>152</v>
      </c>
      <c r="B86" s="388"/>
      <c r="C86" s="389"/>
      <c r="D86" s="142">
        <f>K64/R64*1000</f>
        <v>42.518028846153847</v>
      </c>
      <c r="E86" t="s">
        <v>47</v>
      </c>
    </row>
    <row r="88" spans="1:9" x14ac:dyDescent="0.25">
      <c r="A88" s="31" t="s">
        <v>91</v>
      </c>
    </row>
    <row r="89" spans="1:9" ht="15.75" x14ac:dyDescent="0.25">
      <c r="A89" s="390" t="s">
        <v>92</v>
      </c>
      <c r="B89" s="390"/>
      <c r="C89" s="390"/>
      <c r="D89" s="286">
        <v>84</v>
      </c>
      <c r="E89" t="s">
        <v>93</v>
      </c>
      <c r="F89" t="s">
        <v>4</v>
      </c>
      <c r="G89" t="s">
        <v>6</v>
      </c>
      <c r="H89">
        <v>2024</v>
      </c>
      <c r="I89" s="10" t="s">
        <v>274</v>
      </c>
    </row>
    <row r="90" spans="1:9" ht="15.75" x14ac:dyDescent="0.25">
      <c r="A90" s="390" t="s">
        <v>95</v>
      </c>
      <c r="B90" s="390"/>
      <c r="C90" s="390"/>
      <c r="D90" s="286">
        <v>106</v>
      </c>
      <c r="E90" t="s">
        <v>93</v>
      </c>
      <c r="G90" t="s">
        <v>6</v>
      </c>
      <c r="H90">
        <v>2024</v>
      </c>
      <c r="I90" s="10" t="s">
        <v>274</v>
      </c>
    </row>
    <row r="91" spans="1:9" ht="15.75" x14ac:dyDescent="0.25">
      <c r="A91" s="390" t="s">
        <v>96</v>
      </c>
      <c r="B91" s="390"/>
      <c r="C91" s="390"/>
      <c r="D91" s="287">
        <v>261.72000000000003</v>
      </c>
      <c r="E91" t="s">
        <v>93</v>
      </c>
      <c r="G91" t="s">
        <v>6</v>
      </c>
      <c r="H91">
        <v>2019</v>
      </c>
    </row>
    <row r="92" spans="1:9" ht="15.75" x14ac:dyDescent="0.25">
      <c r="A92" s="390" t="s">
        <v>97</v>
      </c>
      <c r="B92" s="390"/>
      <c r="C92" s="390"/>
      <c r="D92" s="288">
        <f>(G110*D91)/1000</f>
        <v>4020.0192000000002</v>
      </c>
      <c r="E92" t="s">
        <v>98</v>
      </c>
      <c r="F92" t="s">
        <v>4</v>
      </c>
    </row>
    <row r="93" spans="1:9" ht="15.75" x14ac:dyDescent="0.25">
      <c r="A93" s="390" t="s">
        <v>120</v>
      </c>
      <c r="B93" s="390"/>
      <c r="C93" s="390"/>
      <c r="D93" s="288">
        <f>(G110*D91)/1000-(M110*D89)/1000</f>
        <v>3616.8192000000004</v>
      </c>
      <c r="E93" t="s">
        <v>98</v>
      </c>
      <c r="G93" s="252" t="s">
        <v>275</v>
      </c>
      <c r="H93" s="252"/>
      <c r="I93" s="10" t="s">
        <v>276</v>
      </c>
    </row>
    <row r="94" spans="1:9" x14ac:dyDescent="0.25">
      <c r="A94" s="57"/>
      <c r="B94" s="57"/>
      <c r="C94" s="57"/>
      <c r="D94" s="57"/>
    </row>
    <row r="95" spans="1:9" x14ac:dyDescent="0.25">
      <c r="A95" s="8" t="s">
        <v>50</v>
      </c>
    </row>
    <row r="96" spans="1:9" x14ac:dyDescent="0.25">
      <c r="A96" s="9" t="s">
        <v>51</v>
      </c>
    </row>
    <row r="97" spans="1:13" ht="105" x14ac:dyDescent="0.25">
      <c r="A97" s="12"/>
      <c r="B97" s="12"/>
      <c r="C97" s="134" t="s">
        <v>52</v>
      </c>
      <c r="D97" s="13" t="s">
        <v>53</v>
      </c>
      <c r="E97" s="13" t="s">
        <v>54</v>
      </c>
      <c r="G97" s="13" t="s">
        <v>55</v>
      </c>
      <c r="H97" s="13" t="s">
        <v>56</v>
      </c>
      <c r="I97" s="13" t="s">
        <v>57</v>
      </c>
      <c r="J97" s="13" t="s">
        <v>58</v>
      </c>
      <c r="K97" s="13" t="s">
        <v>59</v>
      </c>
      <c r="L97" s="14" t="s">
        <v>60</v>
      </c>
      <c r="M97" s="15" t="s">
        <v>61</v>
      </c>
    </row>
    <row r="98" spans="1:13" ht="15.75" x14ac:dyDescent="0.25">
      <c r="A98" s="383" t="s">
        <v>62</v>
      </c>
      <c r="B98" s="384"/>
      <c r="C98" s="135">
        <f>$D$13/12</f>
        <v>1333.3333333333333</v>
      </c>
      <c r="D98" s="133">
        <f t="shared" ref="D98:D109" si="11">$D$111</f>
        <v>105</v>
      </c>
      <c r="E98" s="63">
        <f t="shared" ref="E98:E109" si="12">$D$24</f>
        <v>0</v>
      </c>
      <c r="G98" s="17">
        <f>(D26/12)</f>
        <v>1280</v>
      </c>
      <c r="H98" s="18">
        <f t="shared" ref="H98:H109" si="13">IF(G98-C98&lt;0,0,G98-C98)</f>
        <v>0</v>
      </c>
      <c r="I98" s="19">
        <f t="shared" ref="I98:I109" si="14">G98-H98</f>
        <v>1280</v>
      </c>
      <c r="J98" s="18">
        <f t="shared" ref="J98:J109" si="15">I98/1000*D98</f>
        <v>134.4</v>
      </c>
      <c r="K98" s="18">
        <f t="shared" ref="K98:K109" si="16">E98*H98/100</f>
        <v>0</v>
      </c>
      <c r="L98" s="43">
        <f t="shared" ref="L98:L109" si="17">C98-I98</f>
        <v>53.333333333333258</v>
      </c>
      <c r="M98" s="55">
        <f>(G98/D18)</f>
        <v>400</v>
      </c>
    </row>
    <row r="99" spans="1:13" ht="15.75" x14ac:dyDescent="0.25">
      <c r="A99" s="383" t="s">
        <v>63</v>
      </c>
      <c r="B99" s="384"/>
      <c r="C99" s="135">
        <f t="shared" ref="C99:C109" si="18">$D$13/12</f>
        <v>1333.3333333333333</v>
      </c>
      <c r="D99" s="133">
        <f t="shared" si="11"/>
        <v>105</v>
      </c>
      <c r="E99" s="63">
        <f t="shared" si="12"/>
        <v>0</v>
      </c>
      <c r="G99" s="17">
        <f>(D26/12)</f>
        <v>1280</v>
      </c>
      <c r="H99" s="18">
        <f t="shared" si="13"/>
        <v>0</v>
      </c>
      <c r="I99" s="19">
        <f t="shared" si="14"/>
        <v>1280</v>
      </c>
      <c r="J99" s="18">
        <f t="shared" si="15"/>
        <v>134.4</v>
      </c>
      <c r="K99" s="18">
        <f t="shared" si="16"/>
        <v>0</v>
      </c>
      <c r="L99" s="43">
        <f t="shared" si="17"/>
        <v>53.333333333333258</v>
      </c>
      <c r="M99" s="55">
        <f>(G99/D18)</f>
        <v>400</v>
      </c>
    </row>
    <row r="100" spans="1:13" ht="15.75" x14ac:dyDescent="0.25">
      <c r="A100" s="383" t="s">
        <v>64</v>
      </c>
      <c r="B100" s="384"/>
      <c r="C100" s="135">
        <f t="shared" si="18"/>
        <v>1333.3333333333333</v>
      </c>
      <c r="D100" s="133">
        <f t="shared" si="11"/>
        <v>105</v>
      </c>
      <c r="E100" s="63">
        <f t="shared" si="12"/>
        <v>0</v>
      </c>
      <c r="G100" s="17">
        <f>(D26/12)</f>
        <v>1280</v>
      </c>
      <c r="H100" s="18">
        <f t="shared" si="13"/>
        <v>0</v>
      </c>
      <c r="I100" s="19">
        <f t="shared" si="14"/>
        <v>1280</v>
      </c>
      <c r="J100" s="18">
        <f t="shared" si="15"/>
        <v>134.4</v>
      </c>
      <c r="K100" s="18">
        <f t="shared" si="16"/>
        <v>0</v>
      </c>
      <c r="L100" s="43">
        <f t="shared" si="17"/>
        <v>53.333333333333258</v>
      </c>
      <c r="M100" s="55">
        <f>(G100/D18)</f>
        <v>400</v>
      </c>
    </row>
    <row r="101" spans="1:13" ht="15.75" x14ac:dyDescent="0.25">
      <c r="A101" s="383" t="s">
        <v>65</v>
      </c>
      <c r="B101" s="384"/>
      <c r="C101" s="135">
        <f t="shared" si="18"/>
        <v>1333.3333333333333</v>
      </c>
      <c r="D101" s="133">
        <f t="shared" si="11"/>
        <v>105</v>
      </c>
      <c r="E101" s="63">
        <f t="shared" si="12"/>
        <v>0</v>
      </c>
      <c r="G101" s="17">
        <f>(D26/12)</f>
        <v>1280</v>
      </c>
      <c r="H101" s="18">
        <f t="shared" si="13"/>
        <v>0</v>
      </c>
      <c r="I101" s="19">
        <f t="shared" si="14"/>
        <v>1280</v>
      </c>
      <c r="J101" s="18">
        <f t="shared" si="15"/>
        <v>134.4</v>
      </c>
      <c r="K101" s="18">
        <f t="shared" si="16"/>
        <v>0</v>
      </c>
      <c r="L101" s="43">
        <f t="shared" si="17"/>
        <v>53.333333333333258</v>
      </c>
      <c r="M101" s="55">
        <f>(G101/D18)</f>
        <v>400</v>
      </c>
    </row>
    <row r="102" spans="1:13" ht="15.75" x14ac:dyDescent="0.25">
      <c r="A102" s="383" t="s">
        <v>66</v>
      </c>
      <c r="B102" s="384"/>
      <c r="C102" s="135">
        <f t="shared" si="18"/>
        <v>1333.3333333333333</v>
      </c>
      <c r="D102" s="133">
        <f t="shared" si="11"/>
        <v>105</v>
      </c>
      <c r="E102" s="63">
        <f t="shared" si="12"/>
        <v>0</v>
      </c>
      <c r="G102" s="17">
        <f>(D26/12)</f>
        <v>1280</v>
      </c>
      <c r="H102" s="18">
        <f t="shared" si="13"/>
        <v>0</v>
      </c>
      <c r="I102" s="19">
        <f t="shared" si="14"/>
        <v>1280</v>
      </c>
      <c r="J102" s="18">
        <f t="shared" si="15"/>
        <v>134.4</v>
      </c>
      <c r="K102" s="18">
        <f t="shared" si="16"/>
        <v>0</v>
      </c>
      <c r="L102" s="43">
        <f t="shared" si="17"/>
        <v>53.333333333333258</v>
      </c>
      <c r="M102" s="55">
        <f>(G102/D18)</f>
        <v>400</v>
      </c>
    </row>
    <row r="103" spans="1:13" ht="15.75" x14ac:dyDescent="0.25">
      <c r="A103" s="383" t="s">
        <v>67</v>
      </c>
      <c r="B103" s="384"/>
      <c r="C103" s="135">
        <f t="shared" si="18"/>
        <v>1333.3333333333333</v>
      </c>
      <c r="D103" s="133">
        <f t="shared" si="11"/>
        <v>105</v>
      </c>
      <c r="E103" s="63">
        <f t="shared" si="12"/>
        <v>0</v>
      </c>
      <c r="G103" s="17">
        <f>(D26/12)</f>
        <v>1280</v>
      </c>
      <c r="H103" s="18">
        <f t="shared" si="13"/>
        <v>0</v>
      </c>
      <c r="I103" s="19">
        <f t="shared" si="14"/>
        <v>1280</v>
      </c>
      <c r="J103" s="18">
        <f t="shared" si="15"/>
        <v>134.4</v>
      </c>
      <c r="K103" s="18">
        <f t="shared" si="16"/>
        <v>0</v>
      </c>
      <c r="L103" s="43">
        <f t="shared" si="17"/>
        <v>53.333333333333258</v>
      </c>
      <c r="M103" s="55">
        <f>(G103/D18)</f>
        <v>400</v>
      </c>
    </row>
    <row r="104" spans="1:13" ht="15.75" x14ac:dyDescent="0.25">
      <c r="A104" s="383" t="s">
        <v>68</v>
      </c>
      <c r="B104" s="384"/>
      <c r="C104" s="135">
        <f t="shared" si="18"/>
        <v>1333.3333333333333</v>
      </c>
      <c r="D104" s="133">
        <f t="shared" si="11"/>
        <v>105</v>
      </c>
      <c r="E104" s="63">
        <f t="shared" si="12"/>
        <v>0</v>
      </c>
      <c r="G104" s="17">
        <f>(D26/12)</f>
        <v>1280</v>
      </c>
      <c r="H104" s="18">
        <f t="shared" si="13"/>
        <v>0</v>
      </c>
      <c r="I104" s="19">
        <f t="shared" si="14"/>
        <v>1280</v>
      </c>
      <c r="J104" s="18">
        <f t="shared" si="15"/>
        <v>134.4</v>
      </c>
      <c r="K104" s="18">
        <f t="shared" si="16"/>
        <v>0</v>
      </c>
      <c r="L104" s="43">
        <f t="shared" si="17"/>
        <v>53.333333333333258</v>
      </c>
      <c r="M104" s="55">
        <f>(G104/D18)</f>
        <v>400</v>
      </c>
    </row>
    <row r="105" spans="1:13" ht="15.75" x14ac:dyDescent="0.25">
      <c r="A105" s="383" t="s">
        <v>69</v>
      </c>
      <c r="B105" s="384"/>
      <c r="C105" s="135">
        <f t="shared" si="18"/>
        <v>1333.3333333333333</v>
      </c>
      <c r="D105" s="133">
        <f t="shared" si="11"/>
        <v>105</v>
      </c>
      <c r="E105" s="63">
        <f t="shared" si="12"/>
        <v>0</v>
      </c>
      <c r="G105" s="17">
        <f>(D26/12)</f>
        <v>1280</v>
      </c>
      <c r="H105" s="18">
        <f t="shared" si="13"/>
        <v>0</v>
      </c>
      <c r="I105" s="19">
        <f t="shared" si="14"/>
        <v>1280</v>
      </c>
      <c r="J105" s="18">
        <f t="shared" si="15"/>
        <v>134.4</v>
      </c>
      <c r="K105" s="18">
        <f t="shared" si="16"/>
        <v>0</v>
      </c>
      <c r="L105" s="43">
        <f t="shared" si="17"/>
        <v>53.333333333333258</v>
      </c>
      <c r="M105" s="55">
        <f>(G105/D18)</f>
        <v>400</v>
      </c>
    </row>
    <row r="106" spans="1:13" ht="15.75" x14ac:dyDescent="0.25">
      <c r="A106" s="383" t="s">
        <v>70</v>
      </c>
      <c r="B106" s="384"/>
      <c r="C106" s="135">
        <f t="shared" si="18"/>
        <v>1333.3333333333333</v>
      </c>
      <c r="D106" s="133">
        <f t="shared" si="11"/>
        <v>105</v>
      </c>
      <c r="E106" s="63">
        <f t="shared" si="12"/>
        <v>0</v>
      </c>
      <c r="G106" s="17">
        <f>(D26/12)</f>
        <v>1280</v>
      </c>
      <c r="H106" s="18">
        <f t="shared" si="13"/>
        <v>0</v>
      </c>
      <c r="I106" s="19">
        <f t="shared" si="14"/>
        <v>1280</v>
      </c>
      <c r="J106" s="18">
        <f t="shared" si="15"/>
        <v>134.4</v>
      </c>
      <c r="K106" s="18">
        <f t="shared" si="16"/>
        <v>0</v>
      </c>
      <c r="L106" s="43">
        <f t="shared" si="17"/>
        <v>53.333333333333258</v>
      </c>
      <c r="M106" s="55">
        <f>(G106/D18)</f>
        <v>400</v>
      </c>
    </row>
    <row r="107" spans="1:13" ht="15.75" x14ac:dyDescent="0.25">
      <c r="A107" s="383" t="s">
        <v>71</v>
      </c>
      <c r="B107" s="384"/>
      <c r="C107" s="135">
        <f t="shared" si="18"/>
        <v>1333.3333333333333</v>
      </c>
      <c r="D107" s="133">
        <f t="shared" si="11"/>
        <v>105</v>
      </c>
      <c r="E107" s="63">
        <f t="shared" si="12"/>
        <v>0</v>
      </c>
      <c r="G107" s="17">
        <f>(D26/12)</f>
        <v>1280</v>
      </c>
      <c r="H107" s="18">
        <f t="shared" si="13"/>
        <v>0</v>
      </c>
      <c r="I107" s="19">
        <f t="shared" si="14"/>
        <v>1280</v>
      </c>
      <c r="J107" s="18">
        <f t="shared" si="15"/>
        <v>134.4</v>
      </c>
      <c r="K107" s="18">
        <f t="shared" si="16"/>
        <v>0</v>
      </c>
      <c r="L107" s="43">
        <f t="shared" si="17"/>
        <v>53.333333333333258</v>
      </c>
      <c r="M107" s="55">
        <f>(G107/D18)</f>
        <v>400</v>
      </c>
    </row>
    <row r="108" spans="1:13" ht="15.75" x14ac:dyDescent="0.25">
      <c r="A108" s="383" t="s">
        <v>72</v>
      </c>
      <c r="B108" s="384"/>
      <c r="C108" s="135">
        <f t="shared" si="18"/>
        <v>1333.3333333333333</v>
      </c>
      <c r="D108" s="133">
        <f t="shared" si="11"/>
        <v>105</v>
      </c>
      <c r="E108" s="63">
        <f t="shared" si="12"/>
        <v>0</v>
      </c>
      <c r="G108" s="17">
        <f>(D26/12)</f>
        <v>1280</v>
      </c>
      <c r="H108" s="18">
        <f t="shared" si="13"/>
        <v>0</v>
      </c>
      <c r="I108" s="19">
        <f t="shared" si="14"/>
        <v>1280</v>
      </c>
      <c r="J108" s="18">
        <f t="shared" si="15"/>
        <v>134.4</v>
      </c>
      <c r="K108" s="18">
        <f t="shared" si="16"/>
        <v>0</v>
      </c>
      <c r="L108" s="43">
        <f t="shared" si="17"/>
        <v>53.333333333333258</v>
      </c>
      <c r="M108" s="55">
        <f>(G108/D18)</f>
        <v>400</v>
      </c>
    </row>
    <row r="109" spans="1:13" ht="15.75" x14ac:dyDescent="0.25">
      <c r="A109" s="383" t="s">
        <v>73</v>
      </c>
      <c r="B109" s="384"/>
      <c r="C109" s="135">
        <f t="shared" si="18"/>
        <v>1333.3333333333333</v>
      </c>
      <c r="D109" s="133">
        <f t="shared" si="11"/>
        <v>105</v>
      </c>
      <c r="E109" s="63">
        <f t="shared" si="12"/>
        <v>0</v>
      </c>
      <c r="G109" s="17">
        <f>(D26/12)</f>
        <v>1280</v>
      </c>
      <c r="H109" s="18">
        <f t="shared" si="13"/>
        <v>0</v>
      </c>
      <c r="I109" s="19">
        <f t="shared" si="14"/>
        <v>1280</v>
      </c>
      <c r="J109" s="18">
        <f t="shared" si="15"/>
        <v>134.4</v>
      </c>
      <c r="K109" s="18">
        <f t="shared" si="16"/>
        <v>0</v>
      </c>
      <c r="L109" s="43">
        <f t="shared" si="17"/>
        <v>53.333333333333258</v>
      </c>
      <c r="M109" s="55">
        <f>(G109/D18)</f>
        <v>400</v>
      </c>
    </row>
    <row r="110" spans="1:13" ht="15.75" x14ac:dyDescent="0.25">
      <c r="A110" s="391" t="s">
        <v>74</v>
      </c>
      <c r="B110" s="392"/>
      <c r="C110" s="20">
        <f>SUM(C98:C109)</f>
        <v>16000.000000000002</v>
      </c>
      <c r="D110" s="12"/>
      <c r="E110" s="12"/>
      <c r="G110" s="18">
        <f t="shared" ref="G110:L110" si="19">SUM(G98:G109)</f>
        <v>15360</v>
      </c>
      <c r="H110" s="18">
        <f t="shared" si="19"/>
        <v>0</v>
      </c>
      <c r="I110" s="19">
        <f t="shared" si="19"/>
        <v>15360</v>
      </c>
      <c r="J110" s="21">
        <f t="shared" si="19"/>
        <v>1612.8000000000004</v>
      </c>
      <c r="K110" s="18">
        <f t="shared" si="19"/>
        <v>0</v>
      </c>
      <c r="L110" s="43">
        <f t="shared" si="19"/>
        <v>639.99999999999909</v>
      </c>
      <c r="M110" s="55">
        <f>(G110/D18)</f>
        <v>4800</v>
      </c>
    </row>
    <row r="111" spans="1:13" ht="15.75" x14ac:dyDescent="0.25">
      <c r="A111" s="391" t="s">
        <v>75</v>
      </c>
      <c r="B111" s="393"/>
      <c r="C111" s="12"/>
      <c r="D111" s="16">
        <f>D9</f>
        <v>105</v>
      </c>
      <c r="E111" s="16">
        <f>D24</f>
        <v>0</v>
      </c>
    </row>
    <row r="113" spans="5:5" x14ac:dyDescent="0.25">
      <c r="E113" t="s">
        <v>4</v>
      </c>
    </row>
  </sheetData>
  <mergeCells count="56">
    <mergeCell ref="A25:C25"/>
    <mergeCell ref="A1:L1"/>
    <mergeCell ref="A9:C9"/>
    <mergeCell ref="A10:C10"/>
    <mergeCell ref="A11:C11"/>
    <mergeCell ref="A18:C18"/>
    <mergeCell ref="A19:C19"/>
    <mergeCell ref="A20:C20"/>
    <mergeCell ref="A21:C21"/>
    <mergeCell ref="A22:C22"/>
    <mergeCell ref="A23:C23"/>
    <mergeCell ref="A24:C24"/>
    <mergeCell ref="A12:C12"/>
    <mergeCell ref="A13:C13"/>
    <mergeCell ref="A14:C14"/>
    <mergeCell ref="A100:B100"/>
    <mergeCell ref="A101:B101"/>
    <mergeCell ref="A102:B102"/>
    <mergeCell ref="A103:B103"/>
    <mergeCell ref="A26:C26"/>
    <mergeCell ref="A27:C27"/>
    <mergeCell ref="A28:C28"/>
    <mergeCell ref="A29:C29"/>
    <mergeCell ref="A30:C30"/>
    <mergeCell ref="A31:C31"/>
    <mergeCell ref="A74:C74"/>
    <mergeCell ref="A69:C69"/>
    <mergeCell ref="A70:C70"/>
    <mergeCell ref="A71:C71"/>
    <mergeCell ref="A72:C72"/>
    <mergeCell ref="A73:C73"/>
    <mergeCell ref="A110:B110"/>
    <mergeCell ref="A111:B111"/>
    <mergeCell ref="A83:C83"/>
    <mergeCell ref="A104:B104"/>
    <mergeCell ref="A105:B105"/>
    <mergeCell ref="A106:B106"/>
    <mergeCell ref="A107:B107"/>
    <mergeCell ref="A108:B108"/>
    <mergeCell ref="A109:B109"/>
    <mergeCell ref="A98:B98"/>
    <mergeCell ref="A99:B99"/>
    <mergeCell ref="A92:C92"/>
    <mergeCell ref="A93:C93"/>
    <mergeCell ref="A84:C84"/>
    <mergeCell ref="A85:C85"/>
    <mergeCell ref="A86:C86"/>
    <mergeCell ref="A89:C89"/>
    <mergeCell ref="A90:C90"/>
    <mergeCell ref="A91:C91"/>
    <mergeCell ref="A75:C75"/>
    <mergeCell ref="A76:C76"/>
    <mergeCell ref="A78:C78"/>
    <mergeCell ref="A79:C79"/>
    <mergeCell ref="A82:C82"/>
    <mergeCell ref="A77:C77"/>
  </mergeCells>
  <conditionalFormatting sqref="M39:N63 M38">
    <cfRule type="cellIs" dxfId="0" priority="1" operator="greaterThan">
      <formula>1</formula>
    </cfRule>
  </conditionalFormatting>
  <conditionalFormatting sqref="N39:N63">
    <cfRule type="colorScale" priority="2">
      <colorScale>
        <cfvo type="min"/>
        <cfvo type="percentile" val="50"/>
        <cfvo type="max"/>
        <color rgb="FFF8696B"/>
        <color rgb="FFFCFCFF"/>
        <color rgb="FF63BE7B"/>
      </colorScale>
    </cfRule>
  </conditionalFormatting>
  <conditionalFormatting sqref="M38:M63">
    <cfRule type="colorScale" priority="3">
      <colorScale>
        <cfvo type="min"/>
        <cfvo type="percentile" val="50"/>
        <cfvo type="max"/>
        <color rgb="FFF8696B"/>
        <color rgb="FFFCFCFF"/>
        <color rgb="FF63BE7B"/>
      </colorScale>
    </cfRule>
  </conditionalFormatting>
  <hyperlinks>
    <hyperlink ref="I10" r:id="rId1" xr:uid="{FFAA3B27-7179-49CE-99B8-5CCBDBE47E36}"/>
    <hyperlink ref="I21" r:id="rId2" display="www.vero.fi" xr:uid="{093CB29C-D086-4F03-871A-1F37749CC7BA}"/>
    <hyperlink ref="K21" r:id="rId3" display="www.businessfinland.fi" xr:uid="{95FF0D1F-9234-4568-8D9B-942D920861ED}"/>
    <hyperlink ref="N21" r:id="rId4" display="www.ara.fi" xr:uid="{F2B61B6E-F661-454E-932D-404454D5634D}"/>
    <hyperlink ref="I19" r:id="rId5" display="www.sulpu.fi" xr:uid="{CD2817B4-D651-4D38-9480-FFD54C07EA1B}"/>
    <hyperlink ref="H20" r:id="rId6" xr:uid="{1AB1D032-B2F1-4BEF-B6AE-C2B404228D24}"/>
    <hyperlink ref="I20" r:id="rId7" xr:uid="{F96D1D5C-68A6-4722-9FB0-039CC69B2837}"/>
    <hyperlink ref="K20" r:id="rId8" xr:uid="{AD488701-1B88-401A-BAED-325B21B15AB2}"/>
    <hyperlink ref="I89" r:id="rId9" location="fi_id7000000778" display="https://co2data.fi/rakentaminen/ - fi_id7000000778" xr:uid="{7D5197C8-77BE-4D10-927B-0AF8229F70C1}"/>
    <hyperlink ref="I90" r:id="rId10" location="fi_id7000000763" display="https://co2data.fi/rakentaminen/ - fi_id7000000763" xr:uid="{F55902F0-D02B-4844-A8B1-E31FE4398B08}"/>
    <hyperlink ref="I93" r:id="rId11" xr:uid="{DC7D2C47-21A6-4ECA-B3A7-9E86D3D1E932}"/>
    <hyperlink ref="L20" r:id="rId12" xr:uid="{42E2B74E-417B-46B7-B698-1B7B9704E85B}"/>
  </hyperlinks>
  <pageMargins left="0.7" right="0.7" top="0.75" bottom="0.75" header="0.3" footer="0.3"/>
  <pageSetup paperSize="9" orientation="portrait" r:id="rId13"/>
  <drawing r:id="rId14"/>
  <legacyDrawing r:id="rId1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26F0-FF2E-4335-9EFC-490CACEC065E}">
  <sheetPr>
    <outlinePr summaryBelow="0" summaryRight="0"/>
  </sheetPr>
  <dimension ref="A1:AD1009"/>
  <sheetViews>
    <sheetView showGridLines="0" topLeftCell="A4" zoomScale="70" zoomScaleNormal="70" workbookViewId="0">
      <selection activeCell="A5" sqref="A5"/>
    </sheetView>
  </sheetViews>
  <sheetFormatPr defaultColWidth="14.5703125" defaultRowHeight="15" customHeight="1" x14ac:dyDescent="0.25"/>
  <cols>
    <col min="1" max="2" width="11.5703125" style="146" customWidth="1"/>
    <col min="3" max="3" width="11.140625" style="146" customWidth="1"/>
    <col min="4" max="4" width="14.140625" style="146" customWidth="1"/>
    <col min="5" max="5" width="12.5703125" style="146" customWidth="1"/>
    <col min="6" max="6" width="11.42578125" style="146" customWidth="1"/>
    <col min="7" max="7" width="11.140625" style="146" customWidth="1"/>
    <col min="8" max="8" width="13.5703125" style="146" customWidth="1"/>
    <col min="9" max="9" width="13.85546875" style="146" customWidth="1"/>
    <col min="10" max="10" width="13.7109375" style="146" customWidth="1"/>
    <col min="11" max="11" width="13.5703125" style="146" customWidth="1"/>
    <col min="12" max="12" width="9.85546875" style="146" customWidth="1"/>
    <col min="13" max="13" width="13.5703125" style="146" customWidth="1"/>
    <col min="14" max="14" width="14.28515625" style="146" customWidth="1"/>
    <col min="15" max="15" width="14.140625" style="146" customWidth="1"/>
    <col min="16" max="16" width="13.140625" style="146" customWidth="1"/>
    <col min="17" max="17" width="14.5703125" style="146" customWidth="1"/>
    <col min="18" max="16384" width="14.5703125" style="146"/>
  </cols>
  <sheetData>
    <row r="1" spans="1:26" ht="15.75" x14ac:dyDescent="0.25">
      <c r="A1" s="143" t="s">
        <v>263</v>
      </c>
      <c r="B1" s="144"/>
      <c r="C1" s="144"/>
      <c r="D1" s="144"/>
      <c r="E1" s="145"/>
      <c r="F1" s="145"/>
      <c r="G1" s="145"/>
      <c r="H1" s="145"/>
      <c r="I1" s="145"/>
      <c r="J1" s="145"/>
      <c r="K1" s="145"/>
      <c r="L1" s="145"/>
      <c r="M1" s="145"/>
      <c r="N1" s="145"/>
      <c r="O1" s="145"/>
      <c r="P1" s="145"/>
      <c r="Q1" s="145"/>
      <c r="R1" s="145"/>
      <c r="S1" s="145"/>
      <c r="T1" s="145"/>
      <c r="U1" s="145"/>
      <c r="V1" s="145"/>
      <c r="W1" s="145"/>
      <c r="X1" s="145"/>
      <c r="Y1" s="145"/>
      <c r="Z1" s="145"/>
    </row>
    <row r="2" spans="1:26" ht="15.75" x14ac:dyDescent="0.25">
      <c r="A2" s="145" t="s">
        <v>153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row>
    <row r="3" spans="1:26" ht="15.75" x14ac:dyDescent="0.25">
      <c r="A3" s="252" t="s">
        <v>279</v>
      </c>
      <c r="B3" s="145"/>
      <c r="C3" s="145"/>
      <c r="D3" s="145"/>
      <c r="E3" s="145"/>
      <c r="F3" s="145"/>
      <c r="G3" s="145"/>
      <c r="H3" s="145"/>
      <c r="I3" s="145"/>
      <c r="J3" s="145"/>
      <c r="K3" s="145"/>
      <c r="L3" s="145"/>
      <c r="M3" s="145"/>
      <c r="N3" s="145"/>
      <c r="O3" s="145"/>
      <c r="P3" s="145"/>
      <c r="Q3" s="145"/>
      <c r="R3" s="145"/>
      <c r="S3" s="145"/>
      <c r="T3" s="145"/>
      <c r="U3" s="145"/>
      <c r="V3" s="145"/>
      <c r="W3" s="145"/>
      <c r="X3" s="145"/>
      <c r="Y3" s="145"/>
      <c r="Z3" s="145"/>
    </row>
    <row r="4" spans="1:26" ht="57.6" customHeight="1" x14ac:dyDescent="0.25">
      <c r="A4" s="422" t="s">
        <v>250</v>
      </c>
      <c r="B4" s="423"/>
      <c r="C4" s="423"/>
      <c r="D4" s="423"/>
      <c r="E4" s="423"/>
      <c r="F4" s="423"/>
      <c r="G4" s="423"/>
      <c r="H4" s="423"/>
      <c r="I4" s="145"/>
      <c r="J4" s="145"/>
      <c r="K4" s="145"/>
      <c r="L4" s="145"/>
      <c r="M4" s="145"/>
      <c r="N4" s="145"/>
      <c r="O4" s="145"/>
      <c r="P4" s="145"/>
      <c r="Q4" s="145"/>
      <c r="R4" s="145"/>
      <c r="S4" s="145"/>
      <c r="T4" s="145"/>
      <c r="U4" s="145"/>
      <c r="V4" s="145"/>
      <c r="W4" s="145"/>
      <c r="X4" s="145"/>
      <c r="Y4" s="145"/>
      <c r="Z4" s="145"/>
    </row>
    <row r="5" spans="1:26" ht="15.75" customHeight="1" x14ac:dyDescent="0.25">
      <c r="A5" s="148"/>
      <c r="B5" s="145"/>
      <c r="C5" s="145"/>
      <c r="D5" s="145"/>
      <c r="E5" s="145"/>
      <c r="F5" s="145"/>
      <c r="G5" s="145"/>
      <c r="H5" s="145"/>
      <c r="I5" s="145"/>
      <c r="J5" s="145"/>
      <c r="K5" s="145"/>
      <c r="L5" s="145"/>
      <c r="M5" s="145"/>
      <c r="N5" s="145"/>
      <c r="O5" s="145"/>
      <c r="P5" s="145"/>
      <c r="Q5" s="145"/>
      <c r="R5" s="145"/>
      <c r="S5" s="145"/>
      <c r="T5" s="145"/>
      <c r="U5" s="145"/>
      <c r="V5" s="145"/>
      <c r="W5" s="145"/>
      <c r="X5" s="145"/>
      <c r="Y5" s="145"/>
      <c r="Z5" s="145"/>
    </row>
    <row r="6" spans="1:26" ht="15.75" customHeight="1" x14ac:dyDescent="0.25">
      <c r="A6" s="148" t="s">
        <v>0</v>
      </c>
      <c r="B6" s="145"/>
      <c r="C6" s="145"/>
      <c r="D6" s="145"/>
      <c r="E6" s="145"/>
      <c r="F6" s="145"/>
      <c r="G6" s="145"/>
      <c r="H6" s="145"/>
      <c r="I6" s="145"/>
      <c r="J6" s="145"/>
      <c r="K6" s="145"/>
      <c r="L6" s="145"/>
      <c r="M6" s="145"/>
      <c r="N6" s="145"/>
      <c r="O6" s="145"/>
      <c r="P6" s="145"/>
      <c r="Q6" s="145"/>
      <c r="R6" s="145"/>
      <c r="S6" s="145"/>
      <c r="T6" s="145"/>
      <c r="U6" s="145"/>
      <c r="V6" s="145"/>
      <c r="W6" s="145"/>
      <c r="X6" s="145"/>
      <c r="Y6" s="145"/>
      <c r="Z6" s="145"/>
    </row>
    <row r="7" spans="1:26" ht="15.75" customHeight="1" x14ac:dyDescent="0.25">
      <c r="A7" s="149" t="s">
        <v>1</v>
      </c>
      <c r="B7" s="145"/>
      <c r="C7" s="145"/>
      <c r="D7" s="145"/>
      <c r="E7" s="145"/>
      <c r="F7" s="145"/>
      <c r="G7" s="145"/>
      <c r="H7" s="145"/>
      <c r="I7" s="145"/>
      <c r="J7" s="145"/>
      <c r="K7" s="145"/>
      <c r="L7" s="145"/>
      <c r="M7" s="145"/>
      <c r="N7" s="145"/>
      <c r="O7" s="145"/>
      <c r="P7" s="145"/>
      <c r="Q7" s="145"/>
      <c r="R7" s="145"/>
      <c r="S7" s="145"/>
      <c r="T7" s="145"/>
      <c r="U7" s="145"/>
      <c r="V7" s="145"/>
      <c r="W7" s="145"/>
      <c r="X7" s="145"/>
      <c r="Y7" s="145"/>
      <c r="Z7" s="145"/>
    </row>
    <row r="8" spans="1:26" ht="15.75" x14ac:dyDescent="0.25">
      <c r="A8" s="150"/>
      <c r="B8" s="150"/>
      <c r="C8" s="150"/>
      <c r="D8" s="150"/>
      <c r="E8" s="150"/>
      <c r="F8" s="150"/>
      <c r="G8" s="145"/>
      <c r="H8" s="145"/>
      <c r="I8" s="145"/>
      <c r="J8" s="145"/>
      <c r="K8" s="145"/>
      <c r="L8" s="145"/>
      <c r="M8" s="145"/>
      <c r="N8" s="145"/>
      <c r="O8" s="145"/>
      <c r="P8" s="145"/>
      <c r="Q8" s="145"/>
      <c r="R8" s="145"/>
      <c r="S8" s="145"/>
      <c r="T8" s="145"/>
      <c r="U8" s="145"/>
      <c r="V8" s="145"/>
      <c r="W8" s="145"/>
      <c r="X8" s="145"/>
      <c r="Y8" s="145"/>
      <c r="Z8" s="145"/>
    </row>
    <row r="9" spans="1:26" ht="15.75" x14ac:dyDescent="0.25">
      <c r="A9" s="424" t="s">
        <v>154</v>
      </c>
      <c r="B9" s="423"/>
      <c r="C9" s="423"/>
      <c r="D9" s="423"/>
      <c r="E9" s="423"/>
      <c r="F9" s="423"/>
      <c r="G9" s="423"/>
      <c r="H9" s="423"/>
      <c r="I9" s="145"/>
      <c r="J9" s="145"/>
      <c r="K9" s="145"/>
      <c r="L9" s="145"/>
      <c r="M9" s="145"/>
      <c r="N9" s="145"/>
      <c r="O9" s="145"/>
      <c r="P9" s="145"/>
      <c r="Q9" s="145"/>
      <c r="R9" s="145"/>
      <c r="S9" s="145"/>
      <c r="T9" s="145"/>
      <c r="U9" s="145"/>
      <c r="V9" s="145"/>
      <c r="W9" s="145"/>
      <c r="X9" s="145"/>
      <c r="Y9" s="145"/>
      <c r="Z9" s="145"/>
    </row>
    <row r="10" spans="1:26" ht="15.75" customHeight="1" x14ac:dyDescent="0.25">
      <c r="A10" s="425" t="s">
        <v>2</v>
      </c>
      <c r="B10" s="395"/>
      <c r="C10" s="395"/>
      <c r="D10" s="395"/>
      <c r="E10" s="396"/>
      <c r="F10" s="151">
        <v>5</v>
      </c>
      <c r="G10" s="145" t="s">
        <v>3</v>
      </c>
      <c r="H10" s="145" t="s">
        <v>155</v>
      </c>
      <c r="I10" s="145"/>
      <c r="J10" s="145"/>
      <c r="K10" s="145"/>
      <c r="L10" s="145"/>
      <c r="M10" s="145"/>
      <c r="N10" s="145"/>
      <c r="O10" s="145"/>
      <c r="P10" s="145"/>
      <c r="Q10" s="145"/>
      <c r="R10" s="145"/>
      <c r="S10" s="145"/>
      <c r="T10" s="145"/>
      <c r="U10" s="145"/>
      <c r="V10" s="145"/>
      <c r="W10" s="145"/>
      <c r="X10" s="145"/>
      <c r="Y10" s="145"/>
      <c r="Z10" s="145"/>
    </row>
    <row r="11" spans="1:26" ht="15.75" customHeight="1" x14ac:dyDescent="0.25">
      <c r="A11" s="425" t="s">
        <v>156</v>
      </c>
      <c r="B11" s="395"/>
      <c r="C11" s="395"/>
      <c r="D11" s="395"/>
      <c r="E11" s="396"/>
      <c r="F11" s="151">
        <v>4</v>
      </c>
      <c r="G11" s="145" t="s">
        <v>3</v>
      </c>
      <c r="H11" s="145" t="s">
        <v>157</v>
      </c>
      <c r="I11" s="145"/>
      <c r="J11" s="145"/>
      <c r="K11" s="145"/>
      <c r="L11" s="145"/>
      <c r="M11" s="145"/>
      <c r="N11" s="145"/>
      <c r="O11" s="145"/>
      <c r="P11" s="145"/>
      <c r="Q11" s="145"/>
      <c r="R11" s="145"/>
      <c r="S11" s="145"/>
      <c r="T11" s="145"/>
      <c r="U11" s="145"/>
      <c r="V11" s="145"/>
      <c r="W11" s="145"/>
      <c r="X11" s="145"/>
      <c r="Y11" s="145"/>
      <c r="Z11" s="145"/>
    </row>
    <row r="12" spans="1:26" ht="15.75" customHeight="1" x14ac:dyDescent="0.25">
      <c r="A12" s="425" t="s">
        <v>5</v>
      </c>
      <c r="B12" s="395"/>
      <c r="C12" s="395"/>
      <c r="D12" s="395"/>
      <c r="E12" s="396"/>
      <c r="F12" s="152">
        <f>(2.253)</f>
        <v>2.2530000000000001</v>
      </c>
      <c r="G12" s="145" t="s">
        <v>3</v>
      </c>
      <c r="H12" s="145" t="s">
        <v>158</v>
      </c>
      <c r="I12" s="145"/>
      <c r="J12" s="145"/>
      <c r="K12" s="145"/>
      <c r="L12" s="145"/>
      <c r="M12" s="145"/>
      <c r="N12" s="145"/>
      <c r="O12" s="145"/>
      <c r="P12" s="145"/>
      <c r="Q12" s="145"/>
      <c r="R12" s="145"/>
      <c r="S12" s="145"/>
      <c r="T12" s="145"/>
      <c r="U12" s="145"/>
      <c r="V12" s="145"/>
      <c r="W12" s="145"/>
      <c r="X12" s="145"/>
      <c r="Y12" s="145"/>
      <c r="Z12" s="145"/>
    </row>
    <row r="13" spans="1:26" ht="15.75" customHeight="1" x14ac:dyDescent="0.25">
      <c r="A13" s="425" t="s">
        <v>7</v>
      </c>
      <c r="B13" s="395"/>
      <c r="C13" s="395"/>
      <c r="D13" s="395"/>
      <c r="E13" s="396"/>
      <c r="F13" s="325">
        <v>0.255</v>
      </c>
      <c r="G13" s="145"/>
      <c r="H13" s="145" t="s">
        <v>272</v>
      </c>
      <c r="I13" s="145"/>
      <c r="J13" s="145"/>
      <c r="K13" s="145"/>
      <c r="L13" s="145"/>
      <c r="M13" s="145"/>
      <c r="N13" s="145"/>
      <c r="O13" s="145"/>
      <c r="P13" s="145"/>
      <c r="Q13" s="145"/>
      <c r="R13" s="145"/>
      <c r="S13" s="145"/>
      <c r="T13" s="145"/>
      <c r="U13" s="145"/>
      <c r="V13" s="145"/>
      <c r="W13" s="145"/>
      <c r="X13" s="145"/>
      <c r="Y13" s="145"/>
      <c r="Z13" s="145"/>
    </row>
    <row r="14" spans="1:26" ht="15.75" customHeight="1" x14ac:dyDescent="0.25">
      <c r="A14" s="412" t="s">
        <v>159</v>
      </c>
      <c r="B14" s="395"/>
      <c r="C14" s="395"/>
      <c r="D14" s="395"/>
      <c r="E14" s="396"/>
      <c r="F14" s="324">
        <f>(F10+F11+F12)*(1+F13)</f>
        <v>14.122514999999998</v>
      </c>
      <c r="G14" s="145" t="s">
        <v>3</v>
      </c>
      <c r="H14" s="145" t="s">
        <v>242</v>
      </c>
      <c r="I14" s="145"/>
      <c r="J14" s="145"/>
      <c r="K14" s="145"/>
      <c r="L14" s="145"/>
      <c r="M14" s="145"/>
      <c r="N14" s="145"/>
      <c r="O14" s="145"/>
      <c r="P14" s="145"/>
      <c r="Q14" s="145"/>
      <c r="R14" s="145"/>
      <c r="S14" s="145"/>
      <c r="T14" s="145"/>
      <c r="U14" s="145"/>
      <c r="V14" s="145"/>
      <c r="W14" s="145"/>
      <c r="X14" s="145"/>
      <c r="Y14" s="145"/>
      <c r="Z14" s="145"/>
    </row>
    <row r="15" spans="1:26" ht="15.75" customHeight="1" x14ac:dyDescent="0.25">
      <c r="A15" s="414" t="s">
        <v>160</v>
      </c>
      <c r="B15" s="408"/>
      <c r="C15" s="408"/>
      <c r="D15" s="408"/>
      <c r="E15" s="409"/>
      <c r="F15" s="153">
        <v>0.01</v>
      </c>
      <c r="G15" s="145" t="s">
        <v>161</v>
      </c>
      <c r="H15" s="145" t="s">
        <v>162</v>
      </c>
      <c r="I15" s="145"/>
      <c r="J15" s="145"/>
      <c r="K15" s="145"/>
      <c r="L15" s="145"/>
      <c r="M15" s="145"/>
      <c r="N15" s="145"/>
      <c r="O15" s="145"/>
      <c r="P15" s="145"/>
      <c r="Q15" s="145"/>
      <c r="R15" s="145"/>
      <c r="S15" s="145"/>
      <c r="T15" s="145"/>
      <c r="U15" s="145"/>
      <c r="V15" s="145"/>
      <c r="W15" s="145"/>
      <c r="X15" s="145"/>
      <c r="Y15" s="145"/>
      <c r="Z15" s="145"/>
    </row>
    <row r="16" spans="1:26" ht="15.75" customHeight="1" x14ac:dyDescent="0.25">
      <c r="A16" s="426" t="s">
        <v>163</v>
      </c>
      <c r="B16" s="426"/>
      <c r="C16" s="426"/>
      <c r="D16" s="426"/>
      <c r="E16" s="426"/>
      <c r="F16" s="277">
        <f>(7500+4800)</f>
        <v>12300</v>
      </c>
      <c r="G16" s="150" t="s">
        <v>10</v>
      </c>
      <c r="H16" s="145"/>
      <c r="I16" s="145"/>
      <c r="J16" s="145"/>
      <c r="K16" s="145"/>
      <c r="L16" s="145"/>
      <c r="M16" s="145"/>
      <c r="N16" s="145"/>
      <c r="O16" s="145"/>
      <c r="P16" s="145"/>
      <c r="Q16" s="145"/>
      <c r="R16" s="145"/>
      <c r="S16" s="145"/>
      <c r="T16" s="145"/>
      <c r="U16" s="145"/>
      <c r="V16" s="145"/>
      <c r="W16" s="145"/>
      <c r="X16" s="145"/>
      <c r="Y16" s="145"/>
      <c r="Z16" s="145"/>
    </row>
    <row r="17" spans="1:26" ht="15.75" customHeight="1" x14ac:dyDescent="0.25">
      <c r="A17" s="154" t="s">
        <v>164</v>
      </c>
      <c r="B17" s="150"/>
      <c r="C17" s="150"/>
      <c r="F17" s="150"/>
      <c r="G17" s="150"/>
      <c r="H17" s="145"/>
      <c r="I17" s="145"/>
      <c r="J17" s="145"/>
      <c r="K17" s="145"/>
      <c r="L17" s="145"/>
      <c r="M17" s="145"/>
      <c r="N17" s="145"/>
      <c r="O17" s="145"/>
      <c r="P17" s="145"/>
      <c r="Q17" s="145"/>
      <c r="R17" s="145"/>
      <c r="S17" s="145"/>
      <c r="T17" s="145"/>
      <c r="U17" s="145"/>
      <c r="V17" s="145"/>
      <c r="W17" s="145"/>
      <c r="X17" s="145"/>
      <c r="Y17" s="145"/>
      <c r="Z17" s="145"/>
    </row>
    <row r="18" spans="1:26" ht="15.75" x14ac:dyDescent="0.25">
      <c r="A18" s="399" t="s">
        <v>165</v>
      </c>
      <c r="B18" s="395"/>
      <c r="C18" s="395"/>
      <c r="D18" s="395"/>
      <c r="E18" s="396"/>
      <c r="F18" s="151">
        <v>3.3</v>
      </c>
      <c r="G18" s="155" t="s">
        <v>12</v>
      </c>
      <c r="I18" s="145"/>
      <c r="J18" s="145"/>
      <c r="K18" s="145"/>
      <c r="L18" s="145"/>
      <c r="M18" s="145"/>
      <c r="N18" s="145"/>
      <c r="O18" s="145"/>
      <c r="P18" s="145"/>
      <c r="Q18" s="145"/>
      <c r="R18" s="145"/>
      <c r="S18" s="145"/>
      <c r="T18" s="145"/>
      <c r="U18" s="145"/>
      <c r="V18" s="145"/>
      <c r="W18" s="145"/>
      <c r="X18" s="145"/>
      <c r="Y18" s="145"/>
      <c r="Z18" s="145"/>
    </row>
    <row r="19" spans="1:26" ht="15.75" x14ac:dyDescent="0.25">
      <c r="A19" s="421" t="s">
        <v>13</v>
      </c>
      <c r="B19" s="395"/>
      <c r="C19" s="395"/>
      <c r="D19" s="395"/>
      <c r="E19" s="396"/>
      <c r="F19" s="156">
        <f>(F18*1000)/250*1.7</f>
        <v>22.439999999999998</v>
      </c>
      <c r="G19" s="157" t="s">
        <v>14</v>
      </c>
      <c r="H19" s="145"/>
      <c r="I19" s="145"/>
      <c r="J19" s="145"/>
      <c r="K19" s="145"/>
      <c r="L19" s="145"/>
      <c r="M19" s="145"/>
      <c r="N19" s="145"/>
      <c r="O19" s="145"/>
      <c r="P19" s="145"/>
      <c r="Q19" s="145"/>
      <c r="R19" s="145"/>
      <c r="S19" s="145"/>
      <c r="T19" s="145"/>
      <c r="U19" s="145"/>
      <c r="V19" s="145"/>
      <c r="W19" s="145"/>
      <c r="X19" s="145"/>
      <c r="Y19" s="145"/>
      <c r="Z19" s="145"/>
    </row>
    <row r="20" spans="1:26" ht="15.75" x14ac:dyDescent="0.25">
      <c r="A20" s="399" t="s">
        <v>166</v>
      </c>
      <c r="B20" s="395"/>
      <c r="C20" s="395"/>
      <c r="D20" s="395"/>
      <c r="E20" s="396"/>
      <c r="F20" s="158">
        <v>880</v>
      </c>
      <c r="G20" s="145" t="s">
        <v>25</v>
      </c>
      <c r="H20" s="145" t="s">
        <v>26</v>
      </c>
      <c r="I20" s="145"/>
      <c r="J20" s="145"/>
      <c r="K20" s="145"/>
      <c r="L20" s="145"/>
      <c r="M20" s="145"/>
      <c r="N20" s="145"/>
      <c r="O20" s="145"/>
      <c r="P20" s="145"/>
      <c r="Q20" s="145"/>
      <c r="R20" s="145"/>
      <c r="S20" s="145"/>
      <c r="T20" s="145"/>
      <c r="U20" s="145"/>
      <c r="V20" s="145"/>
      <c r="W20" s="145"/>
      <c r="X20" s="145"/>
      <c r="Y20" s="145"/>
      <c r="Z20" s="145"/>
    </row>
    <row r="21" spans="1:26" ht="15.75" customHeight="1" x14ac:dyDescent="0.25">
      <c r="A21" s="419" t="s">
        <v>167</v>
      </c>
      <c r="B21" s="395"/>
      <c r="C21" s="395"/>
      <c r="D21" s="395"/>
      <c r="E21" s="396"/>
      <c r="F21" s="159">
        <f>(F18)*F20</f>
        <v>2904</v>
      </c>
      <c r="G21" s="157" t="s">
        <v>27</v>
      </c>
      <c r="H21" s="145"/>
      <c r="I21" s="145"/>
      <c r="J21" s="145"/>
      <c r="K21" s="145"/>
      <c r="L21" s="145"/>
      <c r="M21" s="145"/>
      <c r="N21" s="145"/>
      <c r="O21" s="145"/>
      <c r="P21" s="145"/>
      <c r="Q21" s="145"/>
      <c r="R21" s="145"/>
      <c r="S21" s="145"/>
      <c r="T21" s="145"/>
      <c r="U21" s="145"/>
      <c r="V21" s="145"/>
      <c r="W21" s="145"/>
      <c r="X21" s="145"/>
      <c r="Y21" s="145"/>
      <c r="Z21" s="145"/>
    </row>
    <row r="22" spans="1:26" ht="15.75" x14ac:dyDescent="0.25">
      <c r="A22" s="399" t="s">
        <v>28</v>
      </c>
      <c r="B22" s="395"/>
      <c r="C22" s="395"/>
      <c r="D22" s="395"/>
      <c r="E22" s="396"/>
      <c r="F22" s="160">
        <v>-5.0000000000000001E-3</v>
      </c>
      <c r="G22" s="145" t="s">
        <v>8</v>
      </c>
      <c r="H22" s="145" t="s">
        <v>29</v>
      </c>
      <c r="I22" s="145"/>
      <c r="J22" s="145"/>
      <c r="K22" s="145"/>
      <c r="L22" s="145"/>
      <c r="M22" s="145"/>
      <c r="N22" s="145"/>
      <c r="O22" s="145"/>
      <c r="P22" s="145"/>
      <c r="Q22" s="145"/>
      <c r="R22" s="145"/>
      <c r="S22" s="145"/>
      <c r="T22" s="145"/>
      <c r="U22" s="145"/>
      <c r="V22" s="145"/>
      <c r="W22" s="145"/>
      <c r="X22" s="145"/>
      <c r="Y22" s="145"/>
      <c r="Z22" s="145"/>
    </row>
    <row r="23" spans="1:26" ht="15.75" x14ac:dyDescent="0.25">
      <c r="A23" s="413" t="s">
        <v>225</v>
      </c>
      <c r="B23" s="395"/>
      <c r="C23" s="395"/>
      <c r="D23" s="395"/>
      <c r="E23" s="396"/>
      <c r="F23" s="161">
        <v>0.1</v>
      </c>
      <c r="G23" s="162"/>
      <c r="H23" s="145" t="s">
        <v>168</v>
      </c>
      <c r="I23" s="162"/>
      <c r="J23" s="162"/>
      <c r="K23" s="162"/>
      <c r="L23" s="162"/>
      <c r="M23" s="162"/>
      <c r="N23" s="162"/>
      <c r="O23" s="162"/>
      <c r="P23" s="162"/>
      <c r="Q23" s="162"/>
      <c r="R23" s="162"/>
      <c r="S23" s="162"/>
      <c r="T23" s="162"/>
      <c r="U23" s="162"/>
      <c r="V23" s="162"/>
      <c r="W23" s="162"/>
      <c r="X23" s="162"/>
      <c r="Y23" s="162"/>
      <c r="Z23" s="162"/>
    </row>
    <row r="24" spans="1:26" ht="15.75" customHeight="1" x14ac:dyDescent="0.25">
      <c r="A24" s="420" t="s">
        <v>169</v>
      </c>
      <c r="B24" s="395"/>
      <c r="C24" s="395"/>
      <c r="D24" s="395"/>
      <c r="E24" s="396"/>
      <c r="F24" s="151">
        <v>2</v>
      </c>
      <c r="G24" s="145" t="s">
        <v>3</v>
      </c>
      <c r="H24" s="145" t="s">
        <v>170</v>
      </c>
      <c r="I24" s="145"/>
      <c r="J24" s="145"/>
      <c r="K24" s="145"/>
      <c r="L24" s="145"/>
      <c r="M24" s="145"/>
      <c r="N24" s="145"/>
      <c r="O24" s="145"/>
      <c r="P24" s="145"/>
      <c r="Q24" s="145"/>
      <c r="R24" s="145"/>
      <c r="S24" s="145"/>
      <c r="T24" s="145"/>
      <c r="U24" s="145"/>
      <c r="V24" s="145"/>
      <c r="W24" s="145"/>
      <c r="X24" s="145"/>
      <c r="Y24" s="145"/>
      <c r="Z24" s="145"/>
    </row>
    <row r="25" spans="1:26" ht="15.75" x14ac:dyDescent="0.25">
      <c r="A25" s="163"/>
      <c r="B25" s="163"/>
      <c r="C25" s="163"/>
      <c r="D25" s="163"/>
      <c r="E25" s="163"/>
      <c r="F25" s="164"/>
      <c r="G25" s="162"/>
      <c r="H25" s="162"/>
      <c r="I25" s="162"/>
      <c r="J25" s="162"/>
      <c r="K25" s="162"/>
      <c r="L25" s="162"/>
      <c r="M25" s="162"/>
      <c r="N25" s="162"/>
      <c r="O25" s="162"/>
      <c r="P25" s="162"/>
      <c r="Q25" s="162"/>
      <c r="R25" s="162"/>
      <c r="S25" s="162"/>
      <c r="T25" s="162"/>
      <c r="U25" s="162"/>
      <c r="V25" s="162"/>
      <c r="W25" s="162"/>
      <c r="X25" s="162"/>
      <c r="Y25" s="162"/>
      <c r="Z25" s="162"/>
    </row>
    <row r="26" spans="1:26" ht="15.75" x14ac:dyDescent="0.25">
      <c r="A26" s="165" t="s">
        <v>171</v>
      </c>
      <c r="B26" s="163"/>
      <c r="C26" s="163"/>
      <c r="D26" s="163"/>
      <c r="E26" s="163"/>
      <c r="F26" s="164"/>
      <c r="G26" s="162"/>
      <c r="H26" s="162"/>
      <c r="I26" s="162"/>
      <c r="J26" s="162"/>
      <c r="K26" s="162"/>
      <c r="L26" s="162"/>
      <c r="M26" s="162"/>
      <c r="N26" s="162"/>
      <c r="O26" s="162"/>
      <c r="P26" s="162"/>
      <c r="Q26" s="162"/>
      <c r="R26" s="162"/>
      <c r="S26" s="162"/>
      <c r="T26" s="162"/>
      <c r="U26" s="162"/>
      <c r="V26" s="162"/>
      <c r="W26" s="162"/>
      <c r="X26" s="162"/>
      <c r="Y26" s="162"/>
      <c r="Z26" s="162"/>
    </row>
    <row r="27" spans="1:26" ht="15.75" x14ac:dyDescent="0.25">
      <c r="A27" s="399" t="s">
        <v>172</v>
      </c>
      <c r="B27" s="395"/>
      <c r="C27" s="395"/>
      <c r="D27" s="395"/>
      <c r="E27" s="396"/>
      <c r="F27" s="166">
        <v>5950</v>
      </c>
      <c r="G27" s="145" t="s">
        <v>15</v>
      </c>
      <c r="H27" s="145" t="s">
        <v>273</v>
      </c>
      <c r="I27" s="145"/>
      <c r="J27" s="145"/>
      <c r="K27" s="145"/>
      <c r="L27" s="145"/>
      <c r="M27" s="145"/>
      <c r="N27" s="145"/>
      <c r="O27" s="145"/>
      <c r="P27" s="145"/>
      <c r="Q27" s="145"/>
      <c r="R27" s="145"/>
      <c r="S27" s="145"/>
      <c r="T27" s="145"/>
      <c r="U27" s="145"/>
      <c r="V27" s="145"/>
      <c r="W27" s="145"/>
      <c r="X27" s="145"/>
      <c r="Y27" s="145"/>
      <c r="Z27" s="145"/>
    </row>
    <row r="28" spans="1:26" ht="15.75" x14ac:dyDescent="0.25">
      <c r="A28" s="421" t="s">
        <v>16</v>
      </c>
      <c r="B28" s="395"/>
      <c r="C28" s="395"/>
      <c r="D28" s="395"/>
      <c r="E28" s="396"/>
      <c r="F28" s="167">
        <f>F27/F18</f>
        <v>1803.0303030303032</v>
      </c>
      <c r="G28" s="157" t="s">
        <v>17</v>
      </c>
      <c r="H28" s="145"/>
      <c r="I28" s="145"/>
      <c r="J28" s="145"/>
      <c r="K28" s="145"/>
      <c r="L28" s="145"/>
      <c r="M28" s="145"/>
      <c r="N28" s="145"/>
      <c r="O28" s="145"/>
      <c r="P28" s="145"/>
      <c r="Q28" s="145"/>
      <c r="R28" s="145"/>
      <c r="S28" s="145"/>
      <c r="T28" s="145"/>
      <c r="U28" s="145"/>
      <c r="V28" s="145"/>
      <c r="W28" s="145"/>
      <c r="X28" s="145"/>
      <c r="Y28" s="145"/>
      <c r="Z28" s="145"/>
    </row>
    <row r="29" spans="1:26" ht="15.75" x14ac:dyDescent="0.25">
      <c r="A29" s="420" t="s">
        <v>173</v>
      </c>
      <c r="B29" s="395"/>
      <c r="C29" s="395"/>
      <c r="D29" s="395"/>
      <c r="E29" s="396"/>
      <c r="F29" s="161">
        <v>0.1</v>
      </c>
      <c r="G29" s="145"/>
      <c r="H29" s="145" t="s">
        <v>278</v>
      </c>
      <c r="I29" s="145"/>
      <c r="J29" s="145"/>
      <c r="K29" s="145"/>
      <c r="L29" s="145"/>
      <c r="M29" s="145"/>
      <c r="N29" s="145"/>
      <c r="O29" s="145"/>
      <c r="P29" s="145"/>
      <c r="Q29" s="145"/>
      <c r="R29" s="145"/>
      <c r="S29" s="145"/>
      <c r="T29" s="145"/>
      <c r="U29" s="145"/>
      <c r="V29" s="145"/>
      <c r="W29" s="145"/>
      <c r="X29" s="145"/>
      <c r="Y29" s="145"/>
      <c r="Z29" s="145"/>
    </row>
    <row r="30" spans="1:26" ht="15.75" customHeight="1" x14ac:dyDescent="0.25">
      <c r="A30" s="420" t="s">
        <v>21</v>
      </c>
      <c r="B30" s="395"/>
      <c r="C30" s="395"/>
      <c r="D30" s="395"/>
      <c r="E30" s="396"/>
      <c r="F30" s="168">
        <v>0</v>
      </c>
      <c r="G30" s="145" t="s">
        <v>15</v>
      </c>
      <c r="H30" s="145"/>
      <c r="I30" s="145"/>
      <c r="J30" s="145"/>
      <c r="K30" s="145"/>
      <c r="L30" s="145"/>
      <c r="M30" s="145"/>
      <c r="N30" s="145"/>
      <c r="O30" s="145"/>
      <c r="P30" s="145"/>
      <c r="Q30" s="145"/>
      <c r="R30" s="145"/>
      <c r="S30" s="145"/>
      <c r="T30" s="145"/>
      <c r="U30" s="145"/>
      <c r="V30" s="145"/>
      <c r="W30" s="145"/>
      <c r="X30" s="145"/>
      <c r="Y30" s="145"/>
      <c r="Z30" s="145"/>
    </row>
    <row r="31" spans="1:26" ht="15.75" x14ac:dyDescent="0.25">
      <c r="A31" s="412" t="s">
        <v>22</v>
      </c>
      <c r="B31" s="395"/>
      <c r="C31" s="395"/>
      <c r="D31" s="395"/>
      <c r="E31" s="395"/>
      <c r="F31" s="167">
        <f>F27-(F27*F29)-F30</f>
        <v>5355</v>
      </c>
      <c r="G31" s="157" t="s">
        <v>15</v>
      </c>
      <c r="H31" s="145" t="s">
        <v>232</v>
      </c>
      <c r="I31" s="145"/>
      <c r="J31" s="145"/>
      <c r="K31" s="145"/>
      <c r="L31" s="145"/>
      <c r="M31" s="145"/>
      <c r="N31" s="145"/>
      <c r="O31" s="145"/>
      <c r="P31" s="145"/>
      <c r="Q31" s="145"/>
      <c r="R31" s="145"/>
      <c r="S31" s="145"/>
      <c r="T31" s="145"/>
      <c r="U31" s="145"/>
      <c r="V31" s="145"/>
      <c r="W31" s="145"/>
      <c r="X31" s="145"/>
      <c r="Y31" s="145"/>
      <c r="Z31" s="145"/>
    </row>
    <row r="32" spans="1:26" ht="15.75" x14ac:dyDescent="0.25">
      <c r="A32" s="413" t="s">
        <v>174</v>
      </c>
      <c r="B32" s="395"/>
      <c r="C32" s="395"/>
      <c r="D32" s="395"/>
      <c r="E32" s="395"/>
      <c r="F32" s="169">
        <v>0</v>
      </c>
      <c r="G32" s="145"/>
      <c r="I32" s="145"/>
      <c r="J32" s="145"/>
      <c r="K32" s="145"/>
      <c r="L32" s="145"/>
      <c r="M32" s="145"/>
      <c r="N32" s="145"/>
      <c r="O32" s="145"/>
      <c r="P32" s="145"/>
      <c r="Q32" s="145"/>
      <c r="R32" s="145"/>
      <c r="S32" s="145"/>
      <c r="T32" s="145"/>
      <c r="U32" s="145"/>
      <c r="V32" s="145"/>
      <c r="W32" s="145"/>
      <c r="X32" s="145"/>
      <c r="Y32" s="145"/>
      <c r="Z32" s="145"/>
    </row>
    <row r="33" spans="1:30" ht="15.75" x14ac:dyDescent="0.25">
      <c r="A33" s="413" t="s">
        <v>175</v>
      </c>
      <c r="B33" s="395"/>
      <c r="C33" s="395"/>
      <c r="D33" s="395"/>
      <c r="E33" s="395"/>
      <c r="F33" s="170">
        <v>0</v>
      </c>
      <c r="G33" s="145" t="s">
        <v>37</v>
      </c>
      <c r="H33" s="145"/>
      <c r="I33" s="145"/>
      <c r="J33" s="145"/>
      <c r="K33" s="145"/>
      <c r="L33" s="145"/>
      <c r="M33" s="145"/>
      <c r="N33" s="145"/>
      <c r="O33" s="145"/>
      <c r="P33" s="145"/>
      <c r="Q33" s="145"/>
      <c r="R33" s="145"/>
      <c r="S33" s="145"/>
      <c r="T33" s="145"/>
      <c r="U33" s="145"/>
      <c r="V33" s="145"/>
      <c r="W33" s="145"/>
      <c r="X33" s="145"/>
      <c r="Y33" s="145"/>
      <c r="Z33" s="145"/>
    </row>
    <row r="34" spans="1:30" ht="15.75" x14ac:dyDescent="0.25">
      <c r="A34" s="413" t="s">
        <v>176</v>
      </c>
      <c r="B34" s="395"/>
      <c r="C34" s="395"/>
      <c r="D34" s="395"/>
      <c r="E34" s="395"/>
      <c r="F34" s="171">
        <v>0</v>
      </c>
      <c r="G34" s="145"/>
      <c r="H34" s="145"/>
      <c r="I34" s="145"/>
      <c r="J34" s="145"/>
      <c r="K34" s="145"/>
      <c r="L34" s="145"/>
      <c r="M34" s="145"/>
      <c r="N34" s="145"/>
      <c r="O34" s="145"/>
      <c r="P34" s="145"/>
      <c r="Q34" s="145"/>
      <c r="R34" s="145"/>
      <c r="S34" s="145"/>
      <c r="T34" s="145"/>
      <c r="U34" s="145"/>
      <c r="V34" s="145"/>
      <c r="W34" s="145"/>
      <c r="X34" s="145"/>
      <c r="Y34" s="145"/>
      <c r="Z34" s="145"/>
    </row>
    <row r="35" spans="1:30" ht="15.75" x14ac:dyDescent="0.25">
      <c r="A35" s="412" t="s">
        <v>177</v>
      </c>
      <c r="B35" s="395"/>
      <c r="C35" s="395"/>
      <c r="D35" s="395"/>
      <c r="E35" s="395"/>
      <c r="F35" s="172">
        <f>IFERROR(F32/F33,0)</f>
        <v>0</v>
      </c>
      <c r="G35" s="157" t="s">
        <v>178</v>
      </c>
      <c r="H35" s="145" t="s">
        <v>4</v>
      </c>
      <c r="I35" s="145"/>
      <c r="J35" s="145"/>
      <c r="K35" s="145"/>
      <c r="L35" s="145"/>
      <c r="M35" s="145"/>
      <c r="N35" s="145"/>
      <c r="O35" s="145"/>
      <c r="P35" s="145"/>
      <c r="Q35" s="145"/>
      <c r="R35" s="145"/>
      <c r="S35" s="145"/>
      <c r="T35" s="145"/>
      <c r="U35" s="145"/>
      <c r="V35" s="145"/>
      <c r="W35" s="145"/>
      <c r="X35" s="145"/>
      <c r="Y35" s="145"/>
      <c r="Z35" s="145"/>
    </row>
    <row r="36" spans="1:30" ht="15.75" x14ac:dyDescent="0.25">
      <c r="A36" s="413" t="s">
        <v>23</v>
      </c>
      <c r="B36" s="395"/>
      <c r="C36" s="395"/>
      <c r="D36" s="395"/>
      <c r="E36" s="395"/>
      <c r="F36" s="160">
        <v>0</v>
      </c>
      <c r="G36" s="145"/>
      <c r="H36" s="145" t="s">
        <v>179</v>
      </c>
      <c r="I36" s="145"/>
      <c r="J36" s="145"/>
      <c r="K36" s="145"/>
      <c r="L36" s="145"/>
      <c r="M36" s="145"/>
      <c r="N36" s="145"/>
      <c r="O36" s="145"/>
      <c r="P36" s="145"/>
      <c r="Q36" s="145"/>
      <c r="R36" s="145"/>
      <c r="S36" s="145"/>
      <c r="T36" s="145"/>
      <c r="U36" s="145"/>
      <c r="V36" s="145"/>
      <c r="W36" s="145"/>
      <c r="X36" s="145"/>
      <c r="Y36" s="145"/>
      <c r="Z36" s="145"/>
    </row>
    <row r="37" spans="1:30" ht="15.75" x14ac:dyDescent="0.25">
      <c r="A37" s="414" t="s">
        <v>24</v>
      </c>
      <c r="B37" s="408"/>
      <c r="C37" s="408"/>
      <c r="D37" s="408"/>
      <c r="E37" s="409"/>
      <c r="F37" s="173">
        <v>0.08</v>
      </c>
      <c r="G37" s="145"/>
      <c r="H37" s="145" t="s">
        <v>180</v>
      </c>
      <c r="I37" s="145"/>
      <c r="J37" s="145"/>
      <c r="K37" s="145"/>
      <c r="L37" s="145"/>
      <c r="M37" s="145"/>
      <c r="N37" s="145"/>
      <c r="O37" s="145"/>
      <c r="P37" s="145"/>
      <c r="Q37" s="145"/>
      <c r="R37" s="145"/>
      <c r="S37" s="145"/>
      <c r="T37" s="145"/>
      <c r="U37" s="145"/>
      <c r="V37" s="145"/>
      <c r="W37" s="145"/>
      <c r="X37" s="145"/>
      <c r="Y37" s="145"/>
      <c r="Z37" s="145"/>
    </row>
    <row r="38" spans="1:30" ht="15.75" x14ac:dyDescent="0.25">
      <c r="A38" s="399" t="s">
        <v>231</v>
      </c>
      <c r="B38" s="395"/>
      <c r="C38" s="395"/>
      <c r="D38" s="395"/>
      <c r="E38" s="396"/>
      <c r="F38" s="169">
        <v>20</v>
      </c>
      <c r="G38" s="145" t="s">
        <v>15</v>
      </c>
      <c r="H38" s="145" t="s">
        <v>273</v>
      </c>
      <c r="I38" s="145"/>
      <c r="J38" s="145"/>
      <c r="K38" s="145"/>
      <c r="L38" s="145"/>
      <c r="M38" s="145"/>
      <c r="N38" s="145"/>
      <c r="O38" s="145"/>
      <c r="P38" s="145"/>
      <c r="Q38" s="145"/>
      <c r="R38" s="145"/>
      <c r="S38" s="145"/>
      <c r="T38" s="145"/>
      <c r="U38" s="145"/>
      <c r="V38" s="145"/>
      <c r="W38" s="145"/>
      <c r="X38" s="145"/>
      <c r="Y38" s="145"/>
      <c r="Z38" s="145"/>
    </row>
    <row r="39" spans="1:30" ht="15.75" customHeight="1" x14ac:dyDescent="0.25">
      <c r="A39" s="174"/>
      <c r="B39" s="175"/>
      <c r="C39" s="175"/>
      <c r="D39" s="176"/>
      <c r="E39" s="145"/>
      <c r="F39" s="145"/>
      <c r="G39" s="145"/>
      <c r="H39" s="145"/>
      <c r="I39" s="145"/>
      <c r="J39" s="145"/>
      <c r="K39" s="145"/>
      <c r="L39" s="145"/>
      <c r="M39" s="145"/>
      <c r="N39" s="145"/>
      <c r="O39" s="145"/>
      <c r="P39" s="145"/>
      <c r="Q39" s="145"/>
      <c r="R39" s="145"/>
      <c r="S39" s="145"/>
      <c r="T39" s="145"/>
      <c r="U39" s="145"/>
      <c r="V39" s="145"/>
      <c r="W39" s="145"/>
      <c r="X39" s="145"/>
      <c r="Y39" s="145"/>
      <c r="Z39" s="145"/>
    </row>
    <row r="40" spans="1:30" ht="15.75" x14ac:dyDescent="0.25">
      <c r="A40" s="177" t="s">
        <v>181</v>
      </c>
      <c r="B40" s="145"/>
      <c r="C40" s="145"/>
      <c r="D40" s="145"/>
      <c r="E40" s="145"/>
      <c r="F40" s="145"/>
      <c r="G40" s="145"/>
      <c r="H40" s="178"/>
      <c r="I40" s="145"/>
      <c r="J40" s="145"/>
      <c r="K40" s="145"/>
      <c r="L40" s="145"/>
      <c r="M40" s="145"/>
      <c r="N40" s="145"/>
      <c r="O40" s="145"/>
      <c r="P40" s="145"/>
      <c r="Q40" s="145"/>
      <c r="R40" s="145"/>
      <c r="S40" s="145"/>
      <c r="T40" s="145"/>
      <c r="U40" s="145"/>
      <c r="V40" s="145"/>
      <c r="W40" s="145"/>
      <c r="X40" s="145"/>
      <c r="Y40" s="145"/>
      <c r="Z40" s="145"/>
    </row>
    <row r="41" spans="1:30" ht="15.75" x14ac:dyDescent="0.25">
      <c r="B41" s="145"/>
      <c r="C41" s="145"/>
      <c r="D41" s="145"/>
      <c r="E41" s="145"/>
      <c r="F41" s="145"/>
      <c r="G41" s="145"/>
      <c r="H41" s="178"/>
      <c r="I41" s="145"/>
      <c r="J41" s="145"/>
      <c r="K41" s="145"/>
      <c r="L41" s="145"/>
      <c r="M41" s="145"/>
      <c r="N41" s="145"/>
      <c r="O41" s="145"/>
      <c r="P41" s="145"/>
      <c r="Q41" s="145"/>
      <c r="R41" s="145"/>
      <c r="S41" s="145"/>
      <c r="T41" s="145"/>
      <c r="U41" s="145"/>
      <c r="V41" s="145"/>
      <c r="W41" s="145"/>
      <c r="X41" s="145"/>
      <c r="Y41" s="145"/>
      <c r="Z41" s="145"/>
    </row>
    <row r="42" spans="1:30" ht="15.6" customHeight="1" x14ac:dyDescent="0.25">
      <c r="A42" s="415" t="s">
        <v>182</v>
      </c>
      <c r="B42" s="396"/>
      <c r="C42" s="416" t="s">
        <v>183</v>
      </c>
      <c r="D42" s="396"/>
      <c r="E42" s="417" t="s">
        <v>184</v>
      </c>
      <c r="F42" s="418"/>
      <c r="G42" s="418"/>
      <c r="H42" s="418"/>
      <c r="I42" s="418"/>
      <c r="J42" s="418"/>
      <c r="K42" s="418"/>
      <c r="L42" s="401" t="s">
        <v>185</v>
      </c>
      <c r="M42" s="401"/>
      <c r="N42" s="402"/>
      <c r="P42" s="403" t="s">
        <v>186</v>
      </c>
      <c r="Q42" s="403"/>
      <c r="R42" s="403"/>
      <c r="S42" s="179"/>
      <c r="T42" s="180"/>
      <c r="U42" s="180"/>
      <c r="V42" s="180"/>
      <c r="W42" s="180"/>
      <c r="X42" s="180"/>
      <c r="Y42" s="180"/>
      <c r="Z42" s="180"/>
      <c r="AA42" s="180"/>
      <c r="AB42" s="180"/>
      <c r="AC42" s="180"/>
      <c r="AD42" s="180"/>
    </row>
    <row r="43" spans="1:30" ht="61.5" customHeight="1" x14ac:dyDescent="0.25">
      <c r="A43" s="181" t="s">
        <v>141</v>
      </c>
      <c r="B43" s="181" t="s">
        <v>187</v>
      </c>
      <c r="C43" s="182" t="s">
        <v>188</v>
      </c>
      <c r="D43" s="183" t="s">
        <v>189</v>
      </c>
      <c r="E43" s="184" t="s">
        <v>116</v>
      </c>
      <c r="F43" s="184" t="s">
        <v>190</v>
      </c>
      <c r="G43" s="185" t="s">
        <v>191</v>
      </c>
      <c r="H43" s="184" t="s">
        <v>147</v>
      </c>
      <c r="I43" s="184" t="s">
        <v>148</v>
      </c>
      <c r="J43" s="184" t="s">
        <v>149</v>
      </c>
      <c r="K43" s="185" t="s">
        <v>192</v>
      </c>
      <c r="L43" s="186" t="s">
        <v>193</v>
      </c>
      <c r="M43" s="187" t="s">
        <v>194</v>
      </c>
      <c r="N43" s="181" t="s">
        <v>195</v>
      </c>
      <c r="O43" s="188" t="s">
        <v>196</v>
      </c>
      <c r="P43" s="189" t="s">
        <v>197</v>
      </c>
      <c r="Q43" s="189" t="s">
        <v>198</v>
      </c>
      <c r="R43" s="189" t="s">
        <v>199</v>
      </c>
      <c r="S43" s="190"/>
      <c r="T43" s="191"/>
      <c r="U43" s="191"/>
      <c r="V43" s="191"/>
      <c r="W43" s="191"/>
      <c r="X43" s="191"/>
      <c r="Y43" s="191"/>
      <c r="Z43" s="191"/>
      <c r="AA43" s="191"/>
      <c r="AB43" s="191"/>
    </row>
    <row r="44" spans="1:30" ht="15.75" x14ac:dyDescent="0.25">
      <c r="A44" s="192">
        <v>0</v>
      </c>
      <c r="B44" s="193" t="s">
        <v>4</v>
      </c>
      <c r="C44" s="194" t="s">
        <v>4</v>
      </c>
      <c r="D44" s="195" t="s">
        <v>4</v>
      </c>
      <c r="E44" s="196">
        <f>(0)</f>
        <v>0</v>
      </c>
      <c r="F44" s="197">
        <f>IF((F33&gt;0),0,$F$31)</f>
        <v>5355</v>
      </c>
      <c r="G44" s="198">
        <v>0</v>
      </c>
      <c r="H44" s="198" t="str">
        <f>IF(F32&gt;0,(F32),"")</f>
        <v/>
      </c>
      <c r="I44" s="198">
        <f>IF(OR(H44="",H44=0),0,F31-F32)</f>
        <v>0</v>
      </c>
      <c r="J44" s="199"/>
      <c r="K44" s="200">
        <f>IFERROR(F44+G44+I44+J44,J44)</f>
        <v>5355</v>
      </c>
      <c r="L44" s="201" t="s">
        <v>4</v>
      </c>
      <c r="M44" s="202" t="s">
        <v>4</v>
      </c>
      <c r="N44" s="203" t="s">
        <v>4</v>
      </c>
      <c r="O44" s="204">
        <f>-K44</f>
        <v>-5355</v>
      </c>
      <c r="P44" s="205">
        <f>$O44</f>
        <v>-5355</v>
      </c>
      <c r="Q44" s="206" t="s">
        <v>4</v>
      </c>
      <c r="R44" s="192">
        <f t="shared" ref="R44:R74" si="0">IF(Q44&lt;0,1,0)</f>
        <v>0</v>
      </c>
      <c r="S44" s="207"/>
      <c r="T44" s="150"/>
      <c r="U44" s="145"/>
      <c r="V44" s="145"/>
      <c r="W44" s="145"/>
      <c r="X44" s="145"/>
      <c r="Y44" s="145"/>
      <c r="Z44" s="145"/>
      <c r="AA44" s="145"/>
      <c r="AB44" s="145"/>
      <c r="AC44" s="145"/>
    </row>
    <row r="45" spans="1:30" ht="15.75" x14ac:dyDescent="0.25">
      <c r="A45" s="192">
        <v>1</v>
      </c>
      <c r="B45" s="193">
        <f>F21</f>
        <v>2904</v>
      </c>
      <c r="C45" s="208">
        <f>(F14/100)</f>
        <v>0.14122514999999999</v>
      </c>
      <c r="D45" s="195">
        <f t="shared" ref="D45:D74" si="1">B45*C45</f>
        <v>410.11783559999998</v>
      </c>
      <c r="E45" s="196" t="str">
        <f>IF(OR(H44="",H44=0),"",E44+1)</f>
        <v/>
      </c>
      <c r="F45" s="197" t="str">
        <f>IF(E45="","",$F$35)</f>
        <v/>
      </c>
      <c r="G45" s="198" t="str">
        <f>IF(E45="","",((H44*$F$34)))</f>
        <v/>
      </c>
      <c r="H45" s="198" t="str">
        <f>IFERROR(ROUND(IF(E45="","",($H$44-SUM($F$44:F45))),2),"")</f>
        <v/>
      </c>
      <c r="I45" s="198"/>
      <c r="J45" s="199">
        <f t="shared" ref="J45:J57" si="2">$F$38</f>
        <v>20</v>
      </c>
      <c r="K45" s="200">
        <f>IFERROR(F45+G45+I45+J45,J45)</f>
        <v>20</v>
      </c>
      <c r="L45" s="201">
        <f>F24/100</f>
        <v>0.02</v>
      </c>
      <c r="M45" s="202">
        <f t="shared" ref="M45:M74" si="3">B45*$F$23*L45</f>
        <v>5.8080000000000007</v>
      </c>
      <c r="N45" s="203">
        <f t="shared" ref="N45:N74" si="4">D45*(1-$F$23)+M45</f>
        <v>374.91405204</v>
      </c>
      <c r="O45" s="204">
        <f t="shared" ref="O45:O74" si="5">N45-K45</f>
        <v>354.91405204</v>
      </c>
      <c r="P45" s="205">
        <f t="shared" ref="P45:P74" si="6">P44+$O45</f>
        <v>-5000.0859479600003</v>
      </c>
      <c r="Q45" s="209">
        <f>NPV($F$36,O44:O45)</f>
        <v>-5000.0859479600003</v>
      </c>
      <c r="R45" s="192">
        <f t="shared" si="0"/>
        <v>1</v>
      </c>
      <c r="S45" s="207"/>
      <c r="T45" s="150"/>
      <c r="U45" s="145"/>
      <c r="V45" s="145"/>
      <c r="W45" s="145"/>
      <c r="X45" s="145"/>
      <c r="Y45" s="145"/>
      <c r="Z45" s="145"/>
      <c r="AA45" s="145"/>
      <c r="AB45" s="145"/>
      <c r="AC45" s="145"/>
    </row>
    <row r="46" spans="1:30" ht="15.75" x14ac:dyDescent="0.25">
      <c r="A46" s="192">
        <v>2</v>
      </c>
      <c r="B46" s="193">
        <f t="shared" ref="B46:B74" si="7">$F$22*B45+B45</f>
        <v>2889.48</v>
      </c>
      <c r="C46" s="208">
        <f t="shared" ref="C46:C74" si="8">(1+$F$15)*C45</f>
        <v>0.14263740149999998</v>
      </c>
      <c r="D46" s="195">
        <f t="shared" si="1"/>
        <v>412.14791888621994</v>
      </c>
      <c r="E46" s="196" t="str">
        <f>IF(OR(H45="",H45=0),"",E45+1)</f>
        <v/>
      </c>
      <c r="F46" s="197" t="str">
        <f t="shared" ref="F46:F64" si="9">IF(E46="","",$F$35)</f>
        <v/>
      </c>
      <c r="G46" s="198" t="str">
        <f>IF(E46="","",((H45*$F$34)))</f>
        <v/>
      </c>
      <c r="H46" s="198" t="str">
        <f>IFERROR(ROUND(IF(E46="","",($H$44-SUM($F$44:F46))),2),"")</f>
        <v/>
      </c>
      <c r="I46" s="198"/>
      <c r="J46" s="199">
        <f t="shared" si="2"/>
        <v>20</v>
      </c>
      <c r="K46" s="200">
        <f t="shared" ref="K46:K74" si="10">IFERROR(F46+G46+I46+J46,J46)</f>
        <v>20</v>
      </c>
      <c r="L46" s="201">
        <f t="shared" ref="L46:L74" si="11">(1+$F$15)*L45</f>
        <v>2.0199999999999999E-2</v>
      </c>
      <c r="M46" s="202">
        <f t="shared" si="3"/>
        <v>5.8367496000000001</v>
      </c>
      <c r="N46" s="203">
        <f t="shared" si="4"/>
        <v>376.769876597598</v>
      </c>
      <c r="O46" s="204">
        <f t="shared" si="5"/>
        <v>356.769876597598</v>
      </c>
      <c r="P46" s="205">
        <f t="shared" si="6"/>
        <v>-4643.316071362402</v>
      </c>
      <c r="Q46" s="209">
        <f>NPV($F$36,O44:O46)</f>
        <v>-4643.316071362402</v>
      </c>
      <c r="R46" s="192">
        <f t="shared" si="0"/>
        <v>1</v>
      </c>
      <c r="S46" s="207"/>
      <c r="T46" s="150"/>
      <c r="U46" s="145"/>
      <c r="V46" s="145"/>
      <c r="W46" s="145"/>
      <c r="X46" s="145"/>
      <c r="Y46" s="145"/>
      <c r="Z46" s="145"/>
      <c r="AA46" s="145"/>
      <c r="AB46" s="145"/>
      <c r="AC46" s="145"/>
    </row>
    <row r="47" spans="1:30" ht="15.75" x14ac:dyDescent="0.25">
      <c r="A47" s="192">
        <v>3</v>
      </c>
      <c r="B47" s="193">
        <f t="shared" si="7"/>
        <v>2875.0326</v>
      </c>
      <c r="C47" s="208">
        <f t="shared" si="8"/>
        <v>0.14406377551499999</v>
      </c>
      <c r="D47" s="195">
        <f t="shared" si="1"/>
        <v>414.18805108470679</v>
      </c>
      <c r="E47" s="196" t="str">
        <f t="shared" ref="E47:E64" si="12">IF(OR(H46="",H46=0),"",E46+1)</f>
        <v/>
      </c>
      <c r="F47" s="197" t="str">
        <f t="shared" si="9"/>
        <v/>
      </c>
      <c r="G47" s="198" t="str">
        <f t="shared" ref="G47:G64" si="13">IF(E47="","",((H46*$F$34)))</f>
        <v/>
      </c>
      <c r="H47" s="198" t="str">
        <f>IFERROR(ROUND(IF(E47="","",($H$44-SUM($F$44:F47))),2),"")</f>
        <v/>
      </c>
      <c r="I47" s="198"/>
      <c r="J47" s="199">
        <f t="shared" si="2"/>
        <v>20</v>
      </c>
      <c r="K47" s="200">
        <f t="shared" si="10"/>
        <v>20</v>
      </c>
      <c r="L47" s="201">
        <f t="shared" si="11"/>
        <v>2.0402E-2</v>
      </c>
      <c r="M47" s="202">
        <f t="shared" si="3"/>
        <v>5.8656415105200006</v>
      </c>
      <c r="N47" s="203">
        <f t="shared" si="4"/>
        <v>378.6348874867561</v>
      </c>
      <c r="O47" s="204">
        <f t="shared" si="5"/>
        <v>358.6348874867561</v>
      </c>
      <c r="P47" s="205">
        <f t="shared" si="6"/>
        <v>-4284.6811838756457</v>
      </c>
      <c r="Q47" s="209">
        <f>NPV($F$36,O44:O47)</f>
        <v>-4284.6811838756457</v>
      </c>
      <c r="R47" s="192">
        <f t="shared" si="0"/>
        <v>1</v>
      </c>
      <c r="S47" s="207"/>
      <c r="T47" s="150"/>
      <c r="U47" s="145"/>
      <c r="V47" s="145"/>
      <c r="W47" s="145"/>
      <c r="X47" s="145"/>
      <c r="Y47" s="145"/>
      <c r="Z47" s="145"/>
      <c r="AA47" s="145"/>
      <c r="AB47" s="145"/>
      <c r="AC47" s="145"/>
    </row>
    <row r="48" spans="1:30" ht="15.75" x14ac:dyDescent="0.25">
      <c r="A48" s="192">
        <v>4</v>
      </c>
      <c r="B48" s="193">
        <f t="shared" si="7"/>
        <v>2860.6574369999998</v>
      </c>
      <c r="C48" s="208">
        <f t="shared" si="8"/>
        <v>0.14550441327014998</v>
      </c>
      <c r="D48" s="195">
        <f t="shared" si="1"/>
        <v>416.23828193757601</v>
      </c>
      <c r="E48" s="196" t="str">
        <f t="shared" si="12"/>
        <v/>
      </c>
      <c r="F48" s="197" t="str">
        <f t="shared" si="9"/>
        <v/>
      </c>
      <c r="G48" s="198" t="str">
        <f t="shared" si="13"/>
        <v/>
      </c>
      <c r="H48" s="198" t="str">
        <f>IFERROR(ROUND(IF(E48="","",($H$44-SUM($F$44:F48))),2),"")</f>
        <v/>
      </c>
      <c r="I48" s="198"/>
      <c r="J48" s="199">
        <f t="shared" si="2"/>
        <v>20</v>
      </c>
      <c r="K48" s="200">
        <f t="shared" si="10"/>
        <v>20</v>
      </c>
      <c r="L48" s="201">
        <f t="shared" si="11"/>
        <v>2.0606019999999999E-2</v>
      </c>
      <c r="M48" s="202">
        <f t="shared" si="3"/>
        <v>5.8946764359970736</v>
      </c>
      <c r="N48" s="203">
        <f t="shared" si="4"/>
        <v>380.50913017981549</v>
      </c>
      <c r="O48" s="204">
        <f t="shared" si="5"/>
        <v>360.50913017981549</v>
      </c>
      <c r="P48" s="205">
        <f t="shared" si="6"/>
        <v>-3924.1720536958301</v>
      </c>
      <c r="Q48" s="209">
        <f>NPV($F$36,O44:O48)</f>
        <v>-3924.1720536958301</v>
      </c>
      <c r="R48" s="192">
        <f t="shared" si="0"/>
        <v>1</v>
      </c>
      <c r="S48" s="207"/>
      <c r="T48" s="150"/>
      <c r="U48" s="145"/>
      <c r="V48" s="145"/>
      <c r="W48" s="145"/>
      <c r="X48" s="145"/>
      <c r="Y48" s="145"/>
      <c r="Z48" s="145"/>
      <c r="AA48" s="145"/>
      <c r="AB48" s="145"/>
      <c r="AC48" s="145"/>
    </row>
    <row r="49" spans="1:29" ht="15.75" x14ac:dyDescent="0.25">
      <c r="A49" s="192">
        <v>5</v>
      </c>
      <c r="B49" s="193">
        <f t="shared" si="7"/>
        <v>2846.3541498149998</v>
      </c>
      <c r="C49" s="208">
        <f t="shared" si="8"/>
        <v>0.14695945740285149</v>
      </c>
      <c r="D49" s="195">
        <f t="shared" si="1"/>
        <v>418.29866143316701</v>
      </c>
      <c r="E49" s="196" t="str">
        <f t="shared" si="12"/>
        <v/>
      </c>
      <c r="F49" s="197" t="str">
        <f t="shared" si="9"/>
        <v/>
      </c>
      <c r="G49" s="198" t="str">
        <f t="shared" si="13"/>
        <v/>
      </c>
      <c r="H49" s="198" t="str">
        <f>IFERROR(ROUND(IF(E49="","",($H$44-SUM($F$44:F49))),2),"")</f>
        <v/>
      </c>
      <c r="I49" s="198"/>
      <c r="J49" s="199">
        <f t="shared" si="2"/>
        <v>20</v>
      </c>
      <c r="K49" s="200">
        <f t="shared" si="10"/>
        <v>20</v>
      </c>
      <c r="L49" s="201">
        <f t="shared" si="11"/>
        <v>2.0812080199999999E-2</v>
      </c>
      <c r="M49" s="202">
        <f t="shared" si="3"/>
        <v>5.9238550843552593</v>
      </c>
      <c r="N49" s="203">
        <f t="shared" si="4"/>
        <v>382.39265037420557</v>
      </c>
      <c r="O49" s="204">
        <f t="shared" si="5"/>
        <v>362.39265037420557</v>
      </c>
      <c r="P49" s="205">
        <f t="shared" si="6"/>
        <v>-3561.7794033216246</v>
      </c>
      <c r="Q49" s="209">
        <f>NPV($F$36,O44:O49)</f>
        <v>-3561.7794033216246</v>
      </c>
      <c r="R49" s="192">
        <f t="shared" si="0"/>
        <v>1</v>
      </c>
      <c r="S49" s="207"/>
      <c r="T49" s="150"/>
      <c r="U49" s="145"/>
      <c r="V49" s="145"/>
      <c r="W49" s="145"/>
      <c r="X49" s="145"/>
      <c r="Y49" s="145"/>
      <c r="Z49" s="145"/>
      <c r="AA49" s="145"/>
      <c r="AB49" s="145"/>
      <c r="AC49" s="145"/>
    </row>
    <row r="50" spans="1:29" ht="15.75" x14ac:dyDescent="0.25">
      <c r="A50" s="192">
        <v>6</v>
      </c>
      <c r="B50" s="193">
        <f t="shared" si="7"/>
        <v>2832.1223790659246</v>
      </c>
      <c r="C50" s="208">
        <f t="shared" si="8"/>
        <v>0.14842905197688</v>
      </c>
      <c r="D50" s="195">
        <f t="shared" si="1"/>
        <v>420.36923980726118</v>
      </c>
      <c r="E50" s="196" t="str">
        <f t="shared" si="12"/>
        <v/>
      </c>
      <c r="F50" s="197" t="str">
        <f t="shared" si="9"/>
        <v/>
      </c>
      <c r="G50" s="198" t="str">
        <f t="shared" si="13"/>
        <v/>
      </c>
      <c r="H50" s="198" t="str">
        <f>IFERROR(ROUND(IF(E50="","",($H$44-SUM($F$44:F50))),2),"")</f>
        <v/>
      </c>
      <c r="I50" s="198"/>
      <c r="J50" s="199">
        <f t="shared" si="2"/>
        <v>20</v>
      </c>
      <c r="K50" s="200">
        <f t="shared" si="10"/>
        <v>20</v>
      </c>
      <c r="L50" s="201">
        <f t="shared" si="11"/>
        <v>2.1020201002E-2</v>
      </c>
      <c r="M50" s="202">
        <f t="shared" si="3"/>
        <v>5.9531781670228172</v>
      </c>
      <c r="N50" s="203">
        <f t="shared" si="4"/>
        <v>384.28549399355791</v>
      </c>
      <c r="O50" s="204">
        <f t="shared" si="5"/>
        <v>364.28549399355791</v>
      </c>
      <c r="P50" s="205">
        <f t="shared" si="6"/>
        <v>-3197.4939093280668</v>
      </c>
      <c r="Q50" s="209">
        <f>NPV($F$36,O44:O50)</f>
        <v>-3197.4939093280668</v>
      </c>
      <c r="R50" s="192">
        <f t="shared" si="0"/>
        <v>1</v>
      </c>
      <c r="S50" s="207"/>
      <c r="T50" s="150"/>
      <c r="U50" s="145"/>
      <c r="V50" s="145"/>
      <c r="W50" s="145"/>
      <c r="X50" s="145"/>
      <c r="Y50" s="145"/>
      <c r="Z50" s="145"/>
      <c r="AA50" s="145"/>
      <c r="AB50" s="145"/>
      <c r="AC50" s="145"/>
    </row>
    <row r="51" spans="1:29" ht="15.75" x14ac:dyDescent="0.25">
      <c r="A51" s="192">
        <v>7</v>
      </c>
      <c r="B51" s="193">
        <f t="shared" si="7"/>
        <v>2817.9617671705951</v>
      </c>
      <c r="C51" s="208">
        <f t="shared" si="8"/>
        <v>0.14991334249664881</v>
      </c>
      <c r="D51" s="195">
        <f t="shared" si="1"/>
        <v>422.45006754430716</v>
      </c>
      <c r="E51" s="196" t="str">
        <f t="shared" si="12"/>
        <v/>
      </c>
      <c r="F51" s="197" t="str">
        <f t="shared" si="9"/>
        <v/>
      </c>
      <c r="G51" s="198" t="str">
        <f t="shared" si="13"/>
        <v/>
      </c>
      <c r="H51" s="198" t="str">
        <f>IFERROR(ROUND(IF(E51="","",($H$44-SUM($F$44:F51))),2),"")</f>
        <v/>
      </c>
      <c r="I51" s="198"/>
      <c r="J51" s="199">
        <f t="shared" si="2"/>
        <v>20</v>
      </c>
      <c r="K51" s="200">
        <f t="shared" si="10"/>
        <v>20</v>
      </c>
      <c r="L51" s="201">
        <f t="shared" si="11"/>
        <v>2.1230403012020001E-2</v>
      </c>
      <c r="M51" s="202">
        <f t="shared" si="3"/>
        <v>5.9826463989495808</v>
      </c>
      <c r="N51" s="203">
        <f t="shared" si="4"/>
        <v>386.18770718882598</v>
      </c>
      <c r="O51" s="204">
        <f t="shared" si="5"/>
        <v>366.18770718882598</v>
      </c>
      <c r="P51" s="205">
        <f t="shared" si="6"/>
        <v>-2831.3062021392407</v>
      </c>
      <c r="Q51" s="209">
        <f>NPV($F$36,O44:O51)</f>
        <v>-2831.3062021392407</v>
      </c>
      <c r="R51" s="192">
        <f t="shared" si="0"/>
        <v>1</v>
      </c>
      <c r="S51" s="207"/>
      <c r="T51" s="150"/>
      <c r="U51" s="145"/>
      <c r="V51" s="145"/>
      <c r="W51" s="145"/>
      <c r="X51" s="145"/>
      <c r="Y51" s="145"/>
      <c r="Z51" s="145"/>
      <c r="AA51" s="145"/>
      <c r="AB51" s="145"/>
      <c r="AC51" s="145"/>
    </row>
    <row r="52" spans="1:29" ht="15.75" x14ac:dyDescent="0.25">
      <c r="A52" s="192">
        <v>8</v>
      </c>
      <c r="B52" s="193">
        <f t="shared" si="7"/>
        <v>2803.871958334742</v>
      </c>
      <c r="C52" s="208">
        <f t="shared" si="8"/>
        <v>0.1514124759216153</v>
      </c>
      <c r="D52" s="195">
        <f t="shared" si="1"/>
        <v>424.54119537865148</v>
      </c>
      <c r="E52" s="196" t="str">
        <f t="shared" si="12"/>
        <v/>
      </c>
      <c r="F52" s="197" t="str">
        <f t="shared" si="9"/>
        <v/>
      </c>
      <c r="G52" s="198" t="str">
        <f t="shared" si="13"/>
        <v/>
      </c>
      <c r="H52" s="198" t="str">
        <f>IFERROR(ROUND(IF(E52="","",($H$44-SUM($F$44:F52))),2),"")</f>
        <v/>
      </c>
      <c r="I52" s="198"/>
      <c r="J52" s="199">
        <f t="shared" si="2"/>
        <v>20</v>
      </c>
      <c r="K52" s="200">
        <f t="shared" si="10"/>
        <v>20</v>
      </c>
      <c r="L52" s="201">
        <f t="shared" si="11"/>
        <v>2.1442707042140203E-2</v>
      </c>
      <c r="M52" s="202">
        <f t="shared" si="3"/>
        <v>6.0122604986243813</v>
      </c>
      <c r="N52" s="203">
        <f t="shared" si="4"/>
        <v>388.09933633941068</v>
      </c>
      <c r="O52" s="204">
        <f t="shared" si="5"/>
        <v>368.09933633941068</v>
      </c>
      <c r="P52" s="205">
        <f t="shared" si="6"/>
        <v>-2463.2068657998298</v>
      </c>
      <c r="Q52" s="209">
        <f>NPV($F$36,O44:O52)</f>
        <v>-2463.2068657998298</v>
      </c>
      <c r="R52" s="192">
        <f t="shared" si="0"/>
        <v>1</v>
      </c>
      <c r="S52" s="207"/>
      <c r="T52" s="150"/>
      <c r="U52" s="145"/>
      <c r="V52" s="145"/>
      <c r="W52" s="145"/>
      <c r="X52" s="145"/>
      <c r="Y52" s="145"/>
      <c r="Z52" s="145"/>
      <c r="AA52" s="145"/>
      <c r="AB52" s="145"/>
      <c r="AC52" s="145"/>
    </row>
    <row r="53" spans="1:29" ht="15.75" x14ac:dyDescent="0.25">
      <c r="A53" s="192">
        <v>9</v>
      </c>
      <c r="B53" s="193">
        <f t="shared" si="7"/>
        <v>2789.8525985430683</v>
      </c>
      <c r="C53" s="208">
        <f t="shared" si="8"/>
        <v>0.15292660068083147</v>
      </c>
      <c r="D53" s="195">
        <f t="shared" si="1"/>
        <v>426.64267429577586</v>
      </c>
      <c r="E53" s="196" t="str">
        <f t="shared" si="12"/>
        <v/>
      </c>
      <c r="F53" s="197" t="str">
        <f t="shared" si="9"/>
        <v/>
      </c>
      <c r="G53" s="198" t="str">
        <f t="shared" si="13"/>
        <v/>
      </c>
      <c r="H53" s="198" t="str">
        <f>IFERROR(ROUND(IF(E53="","",($H$44-SUM($F$44:F53))),2),"")</f>
        <v/>
      </c>
      <c r="I53" s="198"/>
      <c r="J53" s="199">
        <f t="shared" si="2"/>
        <v>20</v>
      </c>
      <c r="K53" s="200">
        <f t="shared" si="10"/>
        <v>20</v>
      </c>
      <c r="L53" s="201">
        <f t="shared" si="11"/>
        <v>2.1657134112561604E-2</v>
      </c>
      <c r="M53" s="202">
        <f t="shared" si="3"/>
        <v>6.0420211880925718</v>
      </c>
      <c r="N53" s="203">
        <f t="shared" si="4"/>
        <v>390.02042805429085</v>
      </c>
      <c r="O53" s="204">
        <f t="shared" si="5"/>
        <v>370.02042805429085</v>
      </c>
      <c r="P53" s="205">
        <f t="shared" si="6"/>
        <v>-2093.186437745539</v>
      </c>
      <c r="Q53" s="209">
        <f>NPV($F$36,O44:O53)</f>
        <v>-2093.186437745539</v>
      </c>
      <c r="R53" s="192">
        <f t="shared" si="0"/>
        <v>1</v>
      </c>
      <c r="S53" s="207"/>
      <c r="T53" s="150"/>
      <c r="U53" s="145"/>
      <c r="V53" s="145"/>
      <c r="W53" s="145"/>
      <c r="X53" s="145"/>
      <c r="Y53" s="145"/>
      <c r="Z53" s="145"/>
      <c r="AA53" s="145"/>
      <c r="AB53" s="145"/>
      <c r="AC53" s="145"/>
    </row>
    <row r="54" spans="1:29" ht="15.75" x14ac:dyDescent="0.25">
      <c r="A54" s="192">
        <v>10</v>
      </c>
      <c r="B54" s="193">
        <f t="shared" si="7"/>
        <v>2775.9033355503529</v>
      </c>
      <c r="C54" s="208">
        <f t="shared" si="8"/>
        <v>0.15445586668763978</v>
      </c>
      <c r="D54" s="195">
        <f t="shared" si="1"/>
        <v>428.75455553353987</v>
      </c>
      <c r="E54" s="196" t="str">
        <f t="shared" si="12"/>
        <v/>
      </c>
      <c r="F54" s="197" t="str">
        <f t="shared" si="9"/>
        <v/>
      </c>
      <c r="G54" s="198" t="str">
        <f t="shared" si="13"/>
        <v/>
      </c>
      <c r="H54" s="198" t="str">
        <f>IFERROR(ROUND(IF(E54="","",($H$44-SUM($F$44:F54))),2),"")</f>
        <v/>
      </c>
      <c r="I54" s="198"/>
      <c r="J54" s="199">
        <f t="shared" si="2"/>
        <v>20</v>
      </c>
      <c r="K54" s="200">
        <f t="shared" si="10"/>
        <v>20</v>
      </c>
      <c r="L54" s="201">
        <f t="shared" si="11"/>
        <v>2.187370545368722E-2</v>
      </c>
      <c r="M54" s="202">
        <f t="shared" si="3"/>
        <v>6.0719291929736308</v>
      </c>
      <c r="N54" s="203">
        <f t="shared" si="4"/>
        <v>391.95102917315955</v>
      </c>
      <c r="O54" s="204">
        <f t="shared" si="5"/>
        <v>371.95102917315955</v>
      </c>
      <c r="P54" s="205">
        <f t="shared" si="6"/>
        <v>-1721.2354085723796</v>
      </c>
      <c r="Q54" s="209">
        <f>NPV($F$36,O44:O54)</f>
        <v>-1721.2354085723796</v>
      </c>
      <c r="R54" s="192">
        <f t="shared" si="0"/>
        <v>1</v>
      </c>
      <c r="S54" s="207"/>
      <c r="T54" s="150"/>
      <c r="U54" s="145"/>
      <c r="V54" s="145"/>
      <c r="W54" s="145"/>
      <c r="X54" s="145"/>
      <c r="Y54" s="145"/>
      <c r="Z54" s="145"/>
      <c r="AA54" s="145"/>
      <c r="AB54" s="145"/>
      <c r="AC54" s="145"/>
    </row>
    <row r="55" spans="1:29" ht="15.75" x14ac:dyDescent="0.25">
      <c r="A55" s="192">
        <v>11</v>
      </c>
      <c r="B55" s="193">
        <f t="shared" si="7"/>
        <v>2762.0238188726012</v>
      </c>
      <c r="C55" s="208">
        <f t="shared" si="8"/>
        <v>0.15600042535451616</v>
      </c>
      <c r="D55" s="195">
        <f t="shared" si="1"/>
        <v>430.87689058343091</v>
      </c>
      <c r="E55" s="196" t="str">
        <f t="shared" si="12"/>
        <v/>
      </c>
      <c r="F55" s="197" t="str">
        <f t="shared" si="9"/>
        <v/>
      </c>
      <c r="G55" s="198" t="str">
        <f t="shared" si="13"/>
        <v/>
      </c>
      <c r="H55" s="198" t="str">
        <f>IFERROR(ROUND(IF(E55="","",($H$44-SUM($F$44:F55))),2),"")</f>
        <v/>
      </c>
      <c r="I55" s="198"/>
      <c r="J55" s="199">
        <f t="shared" si="2"/>
        <v>20</v>
      </c>
      <c r="K55" s="200">
        <f t="shared" si="10"/>
        <v>20</v>
      </c>
      <c r="L55" s="201">
        <f t="shared" si="11"/>
        <v>2.2092442508224092E-2</v>
      </c>
      <c r="M55" s="202">
        <f t="shared" si="3"/>
        <v>6.1019852424788494</v>
      </c>
      <c r="N55" s="203">
        <f t="shared" si="4"/>
        <v>393.89118676756669</v>
      </c>
      <c r="O55" s="204">
        <f t="shared" si="5"/>
        <v>373.89118676756669</v>
      </c>
      <c r="P55" s="205">
        <f t="shared" si="6"/>
        <v>-1347.3442218048128</v>
      </c>
      <c r="Q55" s="209">
        <f>NPV($F$36,O44:O55)</f>
        <v>-1347.3442218048128</v>
      </c>
      <c r="R55" s="192">
        <f t="shared" si="0"/>
        <v>1</v>
      </c>
      <c r="S55" s="207"/>
      <c r="T55" s="150"/>
      <c r="U55" s="145"/>
      <c r="V55" s="145"/>
      <c r="W55" s="145"/>
      <c r="X55" s="145"/>
      <c r="Y55" s="145"/>
      <c r="Z55" s="145"/>
      <c r="AA55" s="145"/>
      <c r="AB55" s="145"/>
      <c r="AC55" s="145"/>
    </row>
    <row r="56" spans="1:29" ht="15.75" x14ac:dyDescent="0.25">
      <c r="A56" s="192">
        <v>12</v>
      </c>
      <c r="B56" s="193">
        <f t="shared" si="7"/>
        <v>2748.2136997782382</v>
      </c>
      <c r="C56" s="208">
        <f t="shared" si="8"/>
        <v>0.15756042960806133</v>
      </c>
      <c r="D56" s="195">
        <f t="shared" si="1"/>
        <v>433.0097311918189</v>
      </c>
      <c r="E56" s="196" t="str">
        <f t="shared" si="12"/>
        <v/>
      </c>
      <c r="F56" s="197" t="str">
        <f t="shared" si="9"/>
        <v/>
      </c>
      <c r="G56" s="198" t="str">
        <f t="shared" si="13"/>
        <v/>
      </c>
      <c r="H56" s="198" t="str">
        <f>IFERROR(ROUND(IF(E56="","",($H$44-SUM($F$44:F56))),2),"")</f>
        <v/>
      </c>
      <c r="I56" s="198"/>
      <c r="J56" s="199">
        <f t="shared" si="2"/>
        <v>20</v>
      </c>
      <c r="K56" s="200">
        <f t="shared" si="10"/>
        <v>20</v>
      </c>
      <c r="L56" s="201">
        <f t="shared" si="11"/>
        <v>2.2313366933306333E-2</v>
      </c>
      <c r="M56" s="202">
        <f t="shared" si="3"/>
        <v>6.1321900694291207</v>
      </c>
      <c r="N56" s="203">
        <f t="shared" si="4"/>
        <v>395.84094814206611</v>
      </c>
      <c r="O56" s="204">
        <f t="shared" si="5"/>
        <v>375.84094814206611</v>
      </c>
      <c r="P56" s="205">
        <f t="shared" si="6"/>
        <v>-971.50327366274678</v>
      </c>
      <c r="Q56" s="209">
        <f>NPV($F$36,O44:O56)</f>
        <v>-971.50327366274678</v>
      </c>
      <c r="R56" s="192">
        <f t="shared" si="0"/>
        <v>1</v>
      </c>
      <c r="S56" s="207"/>
      <c r="T56" s="150"/>
      <c r="U56" s="145"/>
      <c r="V56" s="145"/>
      <c r="W56" s="145"/>
      <c r="X56" s="145"/>
      <c r="Y56" s="145"/>
      <c r="Z56" s="145"/>
      <c r="AA56" s="145"/>
      <c r="AB56" s="145"/>
      <c r="AC56" s="145"/>
    </row>
    <row r="57" spans="1:29" ht="15.75" x14ac:dyDescent="0.25">
      <c r="A57" s="192">
        <v>13</v>
      </c>
      <c r="B57" s="193">
        <f t="shared" si="7"/>
        <v>2734.4726312793468</v>
      </c>
      <c r="C57" s="208">
        <f t="shared" si="8"/>
        <v>0.15913603390414194</v>
      </c>
      <c r="D57" s="195">
        <f t="shared" si="1"/>
        <v>435.15312936121836</v>
      </c>
      <c r="E57" s="196" t="str">
        <f t="shared" si="12"/>
        <v/>
      </c>
      <c r="F57" s="197" t="str">
        <f t="shared" si="9"/>
        <v/>
      </c>
      <c r="G57" s="198" t="str">
        <f t="shared" si="13"/>
        <v/>
      </c>
      <c r="H57" s="198" t="str">
        <f>IFERROR(ROUND(IF(E57="","",($H$44-SUM($F$44:F57))),2),"")</f>
        <v/>
      </c>
      <c r="I57" s="198"/>
      <c r="J57" s="199">
        <f t="shared" si="2"/>
        <v>20</v>
      </c>
      <c r="K57" s="200">
        <f t="shared" si="10"/>
        <v>20</v>
      </c>
      <c r="L57" s="201">
        <f t="shared" si="11"/>
        <v>2.2536500602639398E-2</v>
      </c>
      <c r="M57" s="202">
        <f t="shared" si="3"/>
        <v>6.1625444102727949</v>
      </c>
      <c r="N57" s="203">
        <f t="shared" si="4"/>
        <v>397.80036083536936</v>
      </c>
      <c r="O57" s="204">
        <f t="shared" si="5"/>
        <v>377.80036083536936</v>
      </c>
      <c r="P57" s="205">
        <f t="shared" si="6"/>
        <v>-593.70291282737742</v>
      </c>
      <c r="Q57" s="209">
        <f>NPV($F$36,O44:O57)</f>
        <v>-593.70291282737742</v>
      </c>
      <c r="R57" s="192">
        <f t="shared" si="0"/>
        <v>1</v>
      </c>
      <c r="S57" s="207"/>
      <c r="T57" s="150"/>
      <c r="U57" s="145"/>
      <c r="V57" s="145"/>
      <c r="W57" s="145"/>
      <c r="X57" s="145"/>
      <c r="Y57" s="145"/>
      <c r="Z57" s="145"/>
      <c r="AA57" s="145"/>
      <c r="AB57" s="145"/>
      <c r="AC57" s="145"/>
    </row>
    <row r="58" spans="1:29" ht="15.75" x14ac:dyDescent="0.25">
      <c r="A58" s="192">
        <v>14</v>
      </c>
      <c r="B58" s="193">
        <f t="shared" si="7"/>
        <v>2720.80026812295</v>
      </c>
      <c r="C58" s="208">
        <f t="shared" si="8"/>
        <v>0.16072739424318336</v>
      </c>
      <c r="D58" s="195">
        <f t="shared" si="1"/>
        <v>437.30713735155638</v>
      </c>
      <c r="E58" s="196" t="str">
        <f t="shared" si="12"/>
        <v/>
      </c>
      <c r="F58" s="197" t="str">
        <f t="shared" si="9"/>
        <v/>
      </c>
      <c r="G58" s="198" t="str">
        <f t="shared" si="13"/>
        <v/>
      </c>
      <c r="H58" s="198" t="str">
        <f>IFERROR(ROUND(IF(E58="","",($H$44-SUM($F$44:F58))),2),"")</f>
        <v/>
      </c>
      <c r="I58" s="198"/>
      <c r="J58" s="199">
        <f>$F$38</f>
        <v>20</v>
      </c>
      <c r="K58" s="200">
        <f t="shared" si="10"/>
        <v>20</v>
      </c>
      <c r="L58" s="201">
        <f t="shared" si="11"/>
        <v>2.2761865608665791E-2</v>
      </c>
      <c r="M58" s="202">
        <f t="shared" si="3"/>
        <v>6.1930490051036431</v>
      </c>
      <c r="N58" s="203">
        <f t="shared" si="4"/>
        <v>399.76947262150441</v>
      </c>
      <c r="O58" s="204">
        <f t="shared" si="5"/>
        <v>379.76947262150441</v>
      </c>
      <c r="P58" s="205">
        <f t="shared" si="6"/>
        <v>-213.93344020587301</v>
      </c>
      <c r="Q58" s="209">
        <f>NPV($F$36,O44:O58)</f>
        <v>-213.93344020587301</v>
      </c>
      <c r="R58" s="192">
        <f t="shared" si="0"/>
        <v>1</v>
      </c>
      <c r="S58" s="207"/>
      <c r="T58" s="150"/>
      <c r="U58" s="145"/>
      <c r="V58" s="145"/>
      <c r="W58" s="145"/>
      <c r="X58" s="145"/>
      <c r="Y58" s="145"/>
      <c r="Z58" s="145"/>
      <c r="AA58" s="145"/>
      <c r="AB58" s="145"/>
      <c r="AC58" s="145"/>
    </row>
    <row r="59" spans="1:29" ht="15.75" x14ac:dyDescent="0.25">
      <c r="A59" s="192">
        <v>15</v>
      </c>
      <c r="B59" s="193">
        <f t="shared" si="7"/>
        <v>2707.1962667823354</v>
      </c>
      <c r="C59" s="208">
        <f t="shared" si="8"/>
        <v>0.16233466818561521</v>
      </c>
      <c r="D59" s="195">
        <f t="shared" si="1"/>
        <v>439.47180768144665</v>
      </c>
      <c r="E59" s="196" t="str">
        <f t="shared" si="12"/>
        <v/>
      </c>
      <c r="F59" s="197" t="str">
        <f t="shared" si="9"/>
        <v/>
      </c>
      <c r="G59" s="198" t="str">
        <f t="shared" si="13"/>
        <v/>
      </c>
      <c r="H59" s="198" t="str">
        <f>IFERROR(ROUND(IF(E59="","",($H$44-SUM($F$44:F59))),2),"")</f>
        <v/>
      </c>
      <c r="I59" s="198"/>
      <c r="J59" s="199">
        <f>$F$38+F27*F37</f>
        <v>496</v>
      </c>
      <c r="K59" s="200">
        <f t="shared" si="10"/>
        <v>496</v>
      </c>
      <c r="L59" s="201">
        <f t="shared" si="11"/>
        <v>2.298948426475245E-2</v>
      </c>
      <c r="M59" s="202">
        <f t="shared" si="3"/>
        <v>6.2237045976789078</v>
      </c>
      <c r="N59" s="203">
        <f t="shared" si="4"/>
        <v>401.7483315109809</v>
      </c>
      <c r="O59" s="204">
        <f t="shared" si="5"/>
        <v>-94.251668489019096</v>
      </c>
      <c r="P59" s="205">
        <f t="shared" si="6"/>
        <v>-308.18510869489211</v>
      </c>
      <c r="Q59" s="209">
        <f>NPV($F$36,O44:O59)</f>
        <v>-308.18510869489211</v>
      </c>
      <c r="R59" s="192">
        <f t="shared" si="0"/>
        <v>1</v>
      </c>
      <c r="S59" s="207"/>
      <c r="T59" s="150"/>
      <c r="U59" s="145"/>
      <c r="V59" s="145"/>
      <c r="W59" s="145"/>
      <c r="X59" s="145"/>
      <c r="Y59" s="145"/>
      <c r="Z59" s="145"/>
      <c r="AA59" s="145"/>
      <c r="AB59" s="145"/>
      <c r="AC59" s="145"/>
    </row>
    <row r="60" spans="1:29" ht="15.75" x14ac:dyDescent="0.25">
      <c r="A60" s="192">
        <v>16</v>
      </c>
      <c r="B60" s="193">
        <f t="shared" si="7"/>
        <v>2693.6602854484236</v>
      </c>
      <c r="C60" s="208">
        <f t="shared" si="8"/>
        <v>0.16395801486747136</v>
      </c>
      <c r="D60" s="195">
        <f t="shared" si="1"/>
        <v>441.64719312946977</v>
      </c>
      <c r="E60" s="196" t="str">
        <f t="shared" si="12"/>
        <v/>
      </c>
      <c r="F60" s="197" t="str">
        <f t="shared" si="9"/>
        <v/>
      </c>
      <c r="G60" s="198" t="str">
        <f t="shared" si="13"/>
        <v/>
      </c>
      <c r="H60" s="198" t="str">
        <f>IFERROR(ROUND(IF(E60="","",($H$44-SUM($F$44:F60))),2),"")</f>
        <v/>
      </c>
      <c r="I60" s="198"/>
      <c r="J60" s="199">
        <f t="shared" ref="J60:J74" si="14">$F$38</f>
        <v>20</v>
      </c>
      <c r="K60" s="200">
        <f t="shared" si="10"/>
        <v>20</v>
      </c>
      <c r="L60" s="201">
        <f t="shared" si="11"/>
        <v>2.3219379107399976E-2</v>
      </c>
      <c r="M60" s="202">
        <f t="shared" si="3"/>
        <v>6.254511935437419</v>
      </c>
      <c r="N60" s="203">
        <f t="shared" si="4"/>
        <v>403.73698575196022</v>
      </c>
      <c r="O60" s="204">
        <f t="shared" si="5"/>
        <v>383.73698575196022</v>
      </c>
      <c r="P60" s="205">
        <f t="shared" si="6"/>
        <v>75.551877057068111</v>
      </c>
      <c r="Q60" s="209">
        <f>NPV($F$36,O44:O60)</f>
        <v>75.551877057068111</v>
      </c>
      <c r="R60" s="192">
        <f t="shared" si="0"/>
        <v>0</v>
      </c>
      <c r="S60" s="207"/>
      <c r="T60" s="150"/>
      <c r="U60" s="145"/>
      <c r="V60" s="145"/>
      <c r="W60" s="145"/>
      <c r="X60" s="145"/>
      <c r="Y60" s="145"/>
      <c r="Z60" s="145"/>
      <c r="AA60" s="145"/>
      <c r="AB60" s="145"/>
      <c r="AC60" s="145"/>
    </row>
    <row r="61" spans="1:29" ht="15.75" x14ac:dyDescent="0.25">
      <c r="A61" s="192">
        <v>17</v>
      </c>
      <c r="B61" s="193">
        <f t="shared" si="7"/>
        <v>2680.1919840211813</v>
      </c>
      <c r="C61" s="208">
        <f t="shared" si="8"/>
        <v>0.16559759501614607</v>
      </c>
      <c r="D61" s="195">
        <f t="shared" si="1"/>
        <v>443.83334673546062</v>
      </c>
      <c r="E61" s="196" t="str">
        <f t="shared" si="12"/>
        <v/>
      </c>
      <c r="F61" s="197" t="str">
        <f t="shared" si="9"/>
        <v/>
      </c>
      <c r="G61" s="198" t="str">
        <f t="shared" si="13"/>
        <v/>
      </c>
      <c r="H61" s="198" t="str">
        <f>IFERROR(ROUND(IF(E61="","",($H$44-SUM($F$44:F61))),2),"")</f>
        <v/>
      </c>
      <c r="I61" s="198"/>
      <c r="J61" s="199">
        <f t="shared" si="14"/>
        <v>20</v>
      </c>
      <c r="K61" s="200">
        <f t="shared" si="10"/>
        <v>20</v>
      </c>
      <c r="L61" s="201">
        <f t="shared" si="11"/>
        <v>2.3451572898473976E-2</v>
      </c>
      <c r="M61" s="202">
        <f t="shared" si="3"/>
        <v>6.2854717695178337</v>
      </c>
      <c r="N61" s="203">
        <f t="shared" si="4"/>
        <v>405.73548383143236</v>
      </c>
      <c r="O61" s="204">
        <f t="shared" si="5"/>
        <v>385.73548383143236</v>
      </c>
      <c r="P61" s="205">
        <f t="shared" si="6"/>
        <v>461.28736088850047</v>
      </c>
      <c r="Q61" s="209">
        <f>NPV($F$36,O44:O61)</f>
        <v>461.28736088850047</v>
      </c>
      <c r="R61" s="192">
        <f t="shared" si="0"/>
        <v>0</v>
      </c>
      <c r="S61" s="207"/>
      <c r="T61" s="150"/>
      <c r="U61" s="145"/>
      <c r="V61" s="145"/>
      <c r="W61" s="145"/>
      <c r="X61" s="145"/>
      <c r="Y61" s="145"/>
      <c r="Z61" s="145"/>
      <c r="AA61" s="145"/>
      <c r="AB61" s="145"/>
      <c r="AC61" s="145"/>
    </row>
    <row r="62" spans="1:29" ht="15.75" x14ac:dyDescent="0.25">
      <c r="A62" s="192">
        <v>18</v>
      </c>
      <c r="B62" s="193">
        <f t="shared" si="7"/>
        <v>2666.7910241010754</v>
      </c>
      <c r="C62" s="208">
        <f t="shared" si="8"/>
        <v>0.16725357096630752</v>
      </c>
      <c r="D62" s="195">
        <f t="shared" si="1"/>
        <v>446.03032180180116</v>
      </c>
      <c r="E62" s="196" t="str">
        <f t="shared" si="12"/>
        <v/>
      </c>
      <c r="F62" s="197" t="str">
        <f t="shared" si="9"/>
        <v/>
      </c>
      <c r="G62" s="198" t="str">
        <f t="shared" si="13"/>
        <v/>
      </c>
      <c r="H62" s="198" t="str">
        <f>IFERROR(ROUND(IF(E62="","",($H$44-SUM($F$44:F62))),2),"")</f>
        <v/>
      </c>
      <c r="I62" s="198"/>
      <c r="J62" s="199">
        <f t="shared" si="14"/>
        <v>20</v>
      </c>
      <c r="K62" s="200">
        <f t="shared" si="10"/>
        <v>20</v>
      </c>
      <c r="L62" s="201">
        <f t="shared" si="11"/>
        <v>2.3686088627458714E-2</v>
      </c>
      <c r="M62" s="202">
        <f t="shared" si="3"/>
        <v>6.3165848547769459</v>
      </c>
      <c r="N62" s="203">
        <f t="shared" si="4"/>
        <v>407.74387447639799</v>
      </c>
      <c r="O62" s="204">
        <f t="shared" si="5"/>
        <v>387.74387447639799</v>
      </c>
      <c r="P62" s="205">
        <f t="shared" si="6"/>
        <v>849.03123536489852</v>
      </c>
      <c r="Q62" s="209">
        <f>NPV($F$36,O44:O62)</f>
        <v>849.03123536489852</v>
      </c>
      <c r="R62" s="192">
        <f t="shared" si="0"/>
        <v>0</v>
      </c>
      <c r="S62" s="207"/>
      <c r="T62" s="150"/>
      <c r="U62" s="145"/>
      <c r="V62" s="145"/>
      <c r="W62" s="145"/>
      <c r="X62" s="145"/>
      <c r="Y62" s="145"/>
      <c r="Z62" s="145"/>
      <c r="AA62" s="145"/>
      <c r="AB62" s="145"/>
      <c r="AC62" s="145"/>
    </row>
    <row r="63" spans="1:29" ht="15.75" x14ac:dyDescent="0.25">
      <c r="A63" s="192">
        <v>19</v>
      </c>
      <c r="B63" s="193">
        <f t="shared" si="7"/>
        <v>2653.4570689805701</v>
      </c>
      <c r="C63" s="208">
        <f t="shared" si="8"/>
        <v>0.16892610667597061</v>
      </c>
      <c r="D63" s="195">
        <f t="shared" si="1"/>
        <v>448.2381718947201</v>
      </c>
      <c r="E63" s="196" t="str">
        <f t="shared" si="12"/>
        <v/>
      </c>
      <c r="F63" s="197" t="str">
        <f t="shared" si="9"/>
        <v/>
      </c>
      <c r="G63" s="198" t="str">
        <f t="shared" si="13"/>
        <v/>
      </c>
      <c r="H63" s="198" t="str">
        <f>IFERROR(ROUND(IF(E63="","",($H$44-SUM($F$44:F63))),2),"")</f>
        <v/>
      </c>
      <c r="I63" s="198"/>
      <c r="J63" s="199">
        <f t="shared" si="14"/>
        <v>20</v>
      </c>
      <c r="K63" s="200">
        <f t="shared" si="10"/>
        <v>20</v>
      </c>
      <c r="L63" s="201">
        <f t="shared" si="11"/>
        <v>2.3922949513733301E-2</v>
      </c>
      <c r="M63" s="202">
        <f t="shared" si="3"/>
        <v>6.3478519498080921</v>
      </c>
      <c r="N63" s="203">
        <f t="shared" si="4"/>
        <v>409.76220665505622</v>
      </c>
      <c r="O63" s="204">
        <f t="shared" si="5"/>
        <v>389.76220665505622</v>
      </c>
      <c r="P63" s="205">
        <f t="shared" si="6"/>
        <v>1238.7934420199547</v>
      </c>
      <c r="Q63" s="209">
        <f>NPV($F$36,O44:O63)</f>
        <v>1238.7934420199547</v>
      </c>
      <c r="R63" s="192">
        <f t="shared" si="0"/>
        <v>0</v>
      </c>
      <c r="S63" s="207"/>
      <c r="T63" s="150"/>
      <c r="U63" s="145"/>
      <c r="V63" s="145"/>
      <c r="W63" s="145"/>
      <c r="X63" s="145"/>
      <c r="Y63" s="145"/>
      <c r="Z63" s="145"/>
      <c r="AA63" s="145"/>
      <c r="AB63" s="145"/>
      <c r="AC63" s="145"/>
    </row>
    <row r="64" spans="1:29" ht="15.75" x14ac:dyDescent="0.25">
      <c r="A64" s="192">
        <v>20</v>
      </c>
      <c r="B64" s="193">
        <f t="shared" si="7"/>
        <v>2640.189783635667</v>
      </c>
      <c r="C64" s="208">
        <f t="shared" si="8"/>
        <v>0.17061536774273031</v>
      </c>
      <c r="D64" s="195">
        <f t="shared" si="1"/>
        <v>450.4569508455989</v>
      </c>
      <c r="E64" s="196" t="str">
        <f t="shared" si="12"/>
        <v/>
      </c>
      <c r="F64" s="197" t="str">
        <f t="shared" si="9"/>
        <v/>
      </c>
      <c r="G64" s="198" t="str">
        <f t="shared" si="13"/>
        <v/>
      </c>
      <c r="H64" s="198" t="str">
        <f>IFERROR(ROUND(IF(E64="","",($H$44-SUM($F$44:F64))),2),"")</f>
        <v/>
      </c>
      <c r="I64" s="198"/>
      <c r="J64" s="199">
        <f t="shared" si="14"/>
        <v>20</v>
      </c>
      <c r="K64" s="200">
        <f t="shared" si="10"/>
        <v>20</v>
      </c>
      <c r="L64" s="201">
        <f t="shared" si="11"/>
        <v>2.4162179008870636E-2</v>
      </c>
      <c r="M64" s="202">
        <f t="shared" si="3"/>
        <v>6.3792738169596417</v>
      </c>
      <c r="N64" s="203">
        <f t="shared" si="4"/>
        <v>411.79052957799865</v>
      </c>
      <c r="O64" s="204">
        <f t="shared" si="5"/>
        <v>391.79052957799865</v>
      </c>
      <c r="P64" s="205">
        <f t="shared" si="6"/>
        <v>1630.5839715979532</v>
      </c>
      <c r="Q64" s="209">
        <f>NPV($F$36,O44:O64)</f>
        <v>1630.5839715979532</v>
      </c>
      <c r="R64" s="192">
        <f t="shared" si="0"/>
        <v>0</v>
      </c>
      <c r="S64" s="207"/>
      <c r="T64" s="150"/>
      <c r="U64" s="145"/>
      <c r="V64" s="145"/>
      <c r="W64" s="145"/>
      <c r="X64" s="145"/>
      <c r="Y64" s="145"/>
      <c r="Z64" s="145"/>
      <c r="AA64" s="145"/>
      <c r="AB64" s="145"/>
      <c r="AC64" s="145"/>
    </row>
    <row r="65" spans="1:29" ht="15.75" x14ac:dyDescent="0.25">
      <c r="A65" s="192">
        <v>21</v>
      </c>
      <c r="B65" s="193">
        <f t="shared" si="7"/>
        <v>2626.9888347174888</v>
      </c>
      <c r="C65" s="208">
        <f t="shared" si="8"/>
        <v>0.17232152142015761</v>
      </c>
      <c r="D65" s="195">
        <f t="shared" si="1"/>
        <v>452.68671275228462</v>
      </c>
      <c r="E65" s="196"/>
      <c r="F65" s="197"/>
      <c r="G65" s="198" t="s">
        <v>4</v>
      </c>
      <c r="H65" s="198"/>
      <c r="I65" s="198"/>
      <c r="J65" s="199">
        <f t="shared" si="14"/>
        <v>20</v>
      </c>
      <c r="K65" s="200">
        <f t="shared" si="10"/>
        <v>20</v>
      </c>
      <c r="L65" s="201">
        <f t="shared" si="11"/>
        <v>2.4403800798959343E-2</v>
      </c>
      <c r="M65" s="202">
        <f t="shared" si="3"/>
        <v>6.4108512223535934</v>
      </c>
      <c r="N65" s="203">
        <f t="shared" si="4"/>
        <v>413.82889269940978</v>
      </c>
      <c r="O65" s="204">
        <f t="shared" si="5"/>
        <v>393.82889269940978</v>
      </c>
      <c r="P65" s="205">
        <f t="shared" si="6"/>
        <v>2024.4128642973631</v>
      </c>
      <c r="Q65" s="209">
        <f>NPV($F$36,O44:O65)</f>
        <v>2024.4128642973631</v>
      </c>
      <c r="R65" s="192">
        <f t="shared" si="0"/>
        <v>0</v>
      </c>
      <c r="S65" s="207"/>
      <c r="T65" s="150"/>
      <c r="U65" s="145"/>
      <c r="V65" s="145"/>
      <c r="W65" s="145"/>
      <c r="X65" s="145"/>
      <c r="Y65" s="145"/>
      <c r="Z65" s="145"/>
      <c r="AA65" s="145"/>
      <c r="AB65" s="145"/>
      <c r="AC65" s="145"/>
    </row>
    <row r="66" spans="1:29" ht="15.75" x14ac:dyDescent="0.25">
      <c r="A66" s="192">
        <v>22</v>
      </c>
      <c r="B66" s="193">
        <f t="shared" si="7"/>
        <v>2613.8538905439013</v>
      </c>
      <c r="C66" s="208">
        <f t="shared" si="8"/>
        <v>0.17404473663435918</v>
      </c>
      <c r="D66" s="195">
        <f t="shared" si="1"/>
        <v>454.92751198040844</v>
      </c>
      <c r="E66" s="196"/>
      <c r="F66" s="197"/>
      <c r="G66" s="198" t="s">
        <v>4</v>
      </c>
      <c r="H66" s="198"/>
      <c r="I66" s="198"/>
      <c r="J66" s="199">
        <f t="shared" si="14"/>
        <v>20</v>
      </c>
      <c r="K66" s="200">
        <f t="shared" si="10"/>
        <v>20</v>
      </c>
      <c r="L66" s="201">
        <f t="shared" si="11"/>
        <v>2.4647838806948937E-2</v>
      </c>
      <c r="M66" s="202">
        <f t="shared" si="3"/>
        <v>6.4425849359042431</v>
      </c>
      <c r="N66" s="203">
        <f t="shared" si="4"/>
        <v>415.87734571827184</v>
      </c>
      <c r="O66" s="204">
        <f t="shared" si="5"/>
        <v>395.87734571827184</v>
      </c>
      <c r="P66" s="205">
        <f t="shared" si="6"/>
        <v>2420.2902100156348</v>
      </c>
      <c r="Q66" s="209">
        <f>NPV($F$36,O44:O66)</f>
        <v>2420.2902100156348</v>
      </c>
      <c r="R66" s="192">
        <f t="shared" si="0"/>
        <v>0</v>
      </c>
      <c r="S66" s="207"/>
      <c r="T66" s="150"/>
      <c r="U66" s="145"/>
      <c r="V66" s="145"/>
      <c r="W66" s="145"/>
      <c r="X66" s="145"/>
      <c r="Y66" s="145"/>
      <c r="Z66" s="145"/>
      <c r="AA66" s="145"/>
      <c r="AB66" s="145"/>
      <c r="AC66" s="145"/>
    </row>
    <row r="67" spans="1:29" ht="15.75" x14ac:dyDescent="0.25">
      <c r="A67" s="192">
        <v>23</v>
      </c>
      <c r="B67" s="193">
        <f t="shared" si="7"/>
        <v>2600.7846210911816</v>
      </c>
      <c r="C67" s="208">
        <f t="shared" si="8"/>
        <v>0.17578518400070278</v>
      </c>
      <c r="D67" s="195">
        <f t="shared" si="1"/>
        <v>457.1794031647114</v>
      </c>
      <c r="E67" s="196"/>
      <c r="F67" s="197"/>
      <c r="G67" s="198" t="s">
        <v>4</v>
      </c>
      <c r="H67" s="198"/>
      <c r="I67" s="198"/>
      <c r="J67" s="199">
        <f t="shared" si="14"/>
        <v>20</v>
      </c>
      <c r="K67" s="200">
        <f t="shared" si="10"/>
        <v>20</v>
      </c>
      <c r="L67" s="201">
        <f t="shared" si="11"/>
        <v>2.4894317195018428E-2</v>
      </c>
      <c r="M67" s="202">
        <f t="shared" si="3"/>
        <v>6.4744757313369687</v>
      </c>
      <c r="N67" s="203">
        <f t="shared" si="4"/>
        <v>417.93593857957723</v>
      </c>
      <c r="O67" s="204">
        <f t="shared" si="5"/>
        <v>397.93593857957723</v>
      </c>
      <c r="P67" s="205">
        <f t="shared" si="6"/>
        <v>2818.2261485952122</v>
      </c>
      <c r="Q67" s="209">
        <f>NPV($F$36,O44:O67)</f>
        <v>2818.2261485952122</v>
      </c>
      <c r="R67" s="192">
        <f t="shared" si="0"/>
        <v>0</v>
      </c>
      <c r="S67" s="207"/>
      <c r="T67" s="150"/>
      <c r="U67" s="145"/>
      <c r="V67" s="145"/>
      <c r="W67" s="145"/>
      <c r="X67" s="145"/>
      <c r="Y67" s="145"/>
      <c r="Z67" s="145"/>
      <c r="AA67" s="145"/>
      <c r="AB67" s="145"/>
      <c r="AC67" s="145"/>
    </row>
    <row r="68" spans="1:29" ht="15.75" x14ac:dyDescent="0.25">
      <c r="A68" s="192">
        <v>24</v>
      </c>
      <c r="B68" s="193">
        <f t="shared" si="7"/>
        <v>2587.7806979857255</v>
      </c>
      <c r="C68" s="208">
        <f t="shared" si="8"/>
        <v>0.17754303584070982</v>
      </c>
      <c r="D68" s="195">
        <f t="shared" si="1"/>
        <v>459.44244121037673</v>
      </c>
      <c r="E68" s="196"/>
      <c r="F68" s="197"/>
      <c r="G68" s="198" t="s">
        <v>4</v>
      </c>
      <c r="H68" s="198"/>
      <c r="I68" s="198"/>
      <c r="J68" s="199">
        <f t="shared" si="14"/>
        <v>20</v>
      </c>
      <c r="K68" s="200">
        <f t="shared" si="10"/>
        <v>20</v>
      </c>
      <c r="L68" s="201">
        <f t="shared" si="11"/>
        <v>2.5143260366968612E-2</v>
      </c>
      <c r="M68" s="202">
        <f t="shared" si="3"/>
        <v>6.5065243862070874</v>
      </c>
      <c r="N68" s="203">
        <f t="shared" si="4"/>
        <v>420.00472147554615</v>
      </c>
      <c r="O68" s="204">
        <f t="shared" si="5"/>
        <v>400.00472147554615</v>
      </c>
      <c r="P68" s="205">
        <f t="shared" si="6"/>
        <v>3218.2308700707581</v>
      </c>
      <c r="Q68" s="209">
        <f>NPV($F$36,O44:O68)</f>
        <v>3218.2308700707581</v>
      </c>
      <c r="R68" s="192">
        <f t="shared" si="0"/>
        <v>0</v>
      </c>
      <c r="S68" s="207"/>
      <c r="T68" s="150"/>
      <c r="U68" s="145"/>
      <c r="V68" s="145"/>
      <c r="W68" s="145"/>
      <c r="X68" s="145"/>
      <c r="Y68" s="145"/>
      <c r="Z68" s="145"/>
      <c r="AA68" s="145"/>
      <c r="AB68" s="145"/>
      <c r="AC68" s="145"/>
    </row>
    <row r="69" spans="1:29" ht="15.75" x14ac:dyDescent="0.25">
      <c r="A69" s="192">
        <v>25</v>
      </c>
      <c r="B69" s="193">
        <f t="shared" si="7"/>
        <v>2574.8417944957969</v>
      </c>
      <c r="C69" s="208">
        <f t="shared" si="8"/>
        <v>0.17931846619911693</v>
      </c>
      <c r="D69" s="195">
        <f t="shared" si="1"/>
        <v>461.71668129436813</v>
      </c>
      <c r="E69" s="196"/>
      <c r="F69" s="197"/>
      <c r="G69" s="198" t="s">
        <v>4</v>
      </c>
      <c r="H69" s="198"/>
      <c r="I69" s="198"/>
      <c r="J69" s="199">
        <f t="shared" si="14"/>
        <v>20</v>
      </c>
      <c r="K69" s="200">
        <f t="shared" si="10"/>
        <v>20</v>
      </c>
      <c r="L69" s="201">
        <f t="shared" si="11"/>
        <v>2.5394692970638299E-2</v>
      </c>
      <c r="M69" s="202">
        <f t="shared" si="3"/>
        <v>6.5387316819188115</v>
      </c>
      <c r="N69" s="203">
        <f t="shared" si="4"/>
        <v>422.08374484685015</v>
      </c>
      <c r="O69" s="204">
        <f t="shared" si="5"/>
        <v>402.08374484685015</v>
      </c>
      <c r="P69" s="205">
        <f t="shared" si="6"/>
        <v>3620.3146149176082</v>
      </c>
      <c r="Q69" s="209">
        <f>NPV($F$36,O44:O69)</f>
        <v>3620.3146149176082</v>
      </c>
      <c r="R69" s="192">
        <f t="shared" si="0"/>
        <v>0</v>
      </c>
      <c r="S69" s="207"/>
      <c r="T69" s="150"/>
      <c r="U69" s="145"/>
      <c r="V69" s="145"/>
      <c r="W69" s="145"/>
      <c r="X69" s="145"/>
      <c r="Y69" s="145"/>
      <c r="Z69" s="145"/>
      <c r="AA69" s="145"/>
      <c r="AB69" s="145"/>
      <c r="AC69" s="145"/>
    </row>
    <row r="70" spans="1:29" ht="15.75" x14ac:dyDescent="0.25">
      <c r="A70" s="192">
        <v>26</v>
      </c>
      <c r="B70" s="193">
        <f t="shared" si="7"/>
        <v>2561.9675855233177</v>
      </c>
      <c r="C70" s="208">
        <f t="shared" si="8"/>
        <v>0.18111165086110809</v>
      </c>
      <c r="D70" s="195">
        <f t="shared" si="1"/>
        <v>464.00217886677518</v>
      </c>
      <c r="E70" s="196"/>
      <c r="F70" s="197"/>
      <c r="G70" s="198" t="s">
        <v>4</v>
      </c>
      <c r="H70" s="198"/>
      <c r="I70" s="198"/>
      <c r="J70" s="199">
        <f t="shared" si="14"/>
        <v>20</v>
      </c>
      <c r="K70" s="200">
        <f t="shared" si="10"/>
        <v>20</v>
      </c>
      <c r="L70" s="201">
        <f t="shared" si="11"/>
        <v>2.5648639900344682E-2</v>
      </c>
      <c r="M70" s="202">
        <f t="shared" si="3"/>
        <v>6.5710984037443101</v>
      </c>
      <c r="N70" s="203">
        <f t="shared" si="4"/>
        <v>424.17305938384197</v>
      </c>
      <c r="O70" s="204">
        <f t="shared" si="5"/>
        <v>404.17305938384197</v>
      </c>
      <c r="P70" s="205">
        <f t="shared" si="6"/>
        <v>4024.4876743014502</v>
      </c>
      <c r="Q70" s="209">
        <f>NPV($F$36,O44:O70)</f>
        <v>4024.4876743014502</v>
      </c>
      <c r="R70" s="192">
        <f t="shared" si="0"/>
        <v>0</v>
      </c>
      <c r="S70" s="207"/>
      <c r="T70" s="150"/>
      <c r="U70" s="145"/>
      <c r="V70" s="145"/>
      <c r="W70" s="145"/>
      <c r="X70" s="145"/>
      <c r="Y70" s="145"/>
      <c r="Z70" s="145"/>
      <c r="AA70" s="145"/>
      <c r="AB70" s="145"/>
      <c r="AC70" s="145"/>
    </row>
    <row r="71" spans="1:29" ht="15.75" x14ac:dyDescent="0.25">
      <c r="A71" s="192">
        <v>27</v>
      </c>
      <c r="B71" s="193">
        <f t="shared" si="7"/>
        <v>2549.157747595701</v>
      </c>
      <c r="C71" s="208">
        <f t="shared" si="8"/>
        <v>0.18292276736971916</v>
      </c>
      <c r="D71" s="195">
        <f t="shared" si="1"/>
        <v>466.29898965216569</v>
      </c>
      <c r="E71" s="196"/>
      <c r="F71" s="197"/>
      <c r="G71" s="198" t="s">
        <v>4</v>
      </c>
      <c r="H71" s="198"/>
      <c r="I71" s="198"/>
      <c r="J71" s="199">
        <f t="shared" si="14"/>
        <v>20</v>
      </c>
      <c r="K71" s="200">
        <f t="shared" si="10"/>
        <v>20</v>
      </c>
      <c r="L71" s="201">
        <f t="shared" si="11"/>
        <v>2.590512629934813E-2</v>
      </c>
      <c r="M71" s="202">
        <f t="shared" si="3"/>
        <v>6.6036253408428447</v>
      </c>
      <c r="N71" s="203">
        <f t="shared" si="4"/>
        <v>426.27271602779194</v>
      </c>
      <c r="O71" s="204">
        <f t="shared" si="5"/>
        <v>406.27271602779194</v>
      </c>
      <c r="P71" s="205">
        <f t="shared" si="6"/>
        <v>4430.760390329242</v>
      </c>
      <c r="Q71" s="209">
        <f>NPV($F$36,O44:O71)</f>
        <v>4430.760390329242</v>
      </c>
      <c r="R71" s="192">
        <f t="shared" si="0"/>
        <v>0</v>
      </c>
      <c r="S71" s="207"/>
      <c r="T71" s="150"/>
      <c r="U71" s="145"/>
      <c r="V71" s="145"/>
      <c r="W71" s="145"/>
      <c r="X71" s="145"/>
      <c r="Y71" s="145"/>
      <c r="Z71" s="145"/>
      <c r="AA71" s="145"/>
      <c r="AB71" s="145"/>
      <c r="AC71" s="145"/>
    </row>
    <row r="72" spans="1:29" ht="15.75" x14ac:dyDescent="0.25">
      <c r="A72" s="192">
        <v>28</v>
      </c>
      <c r="B72" s="193">
        <f t="shared" si="7"/>
        <v>2536.4119588577223</v>
      </c>
      <c r="C72" s="208">
        <f t="shared" si="8"/>
        <v>0.18475199504341636</v>
      </c>
      <c r="D72" s="195">
        <f t="shared" si="1"/>
        <v>468.60716965094389</v>
      </c>
      <c r="E72" s="196"/>
      <c r="F72" s="197"/>
      <c r="G72" s="198" t="s">
        <v>4</v>
      </c>
      <c r="H72" s="198"/>
      <c r="I72" s="198"/>
      <c r="J72" s="199">
        <f t="shared" si="14"/>
        <v>20</v>
      </c>
      <c r="K72" s="200">
        <f t="shared" si="10"/>
        <v>20</v>
      </c>
      <c r="L72" s="201">
        <f t="shared" si="11"/>
        <v>2.6164177562341611E-2</v>
      </c>
      <c r="M72" s="202">
        <f t="shared" si="3"/>
        <v>6.636313286280016</v>
      </c>
      <c r="N72" s="203">
        <f t="shared" si="4"/>
        <v>428.38276597212956</v>
      </c>
      <c r="O72" s="204">
        <f t="shared" si="5"/>
        <v>408.38276597212956</v>
      </c>
      <c r="P72" s="205">
        <f t="shared" si="6"/>
        <v>4839.1431563013712</v>
      </c>
      <c r="Q72" s="209">
        <f>NPV($F$36,O44:O72)</f>
        <v>4839.1431563013712</v>
      </c>
      <c r="R72" s="210">
        <f t="shared" si="0"/>
        <v>0</v>
      </c>
      <c r="S72" s="207"/>
      <c r="T72" s="150"/>
      <c r="U72" s="145"/>
      <c r="V72" s="145"/>
      <c r="W72" s="145"/>
      <c r="X72" s="145"/>
      <c r="Y72" s="145"/>
      <c r="Z72" s="145"/>
      <c r="AA72" s="145"/>
      <c r="AB72" s="145"/>
      <c r="AC72" s="145"/>
    </row>
    <row r="73" spans="1:29" ht="15.75" x14ac:dyDescent="0.25">
      <c r="A73" s="192">
        <v>29</v>
      </c>
      <c r="B73" s="211">
        <f t="shared" si="7"/>
        <v>2523.7298990634335</v>
      </c>
      <c r="C73" s="212">
        <f t="shared" si="8"/>
        <v>0.18659951499385052</v>
      </c>
      <c r="D73" s="213">
        <f t="shared" si="1"/>
        <v>470.92677514071602</v>
      </c>
      <c r="E73" s="214"/>
      <c r="F73" s="215"/>
      <c r="G73" s="198" t="s">
        <v>4</v>
      </c>
      <c r="H73" s="216"/>
      <c r="I73" s="216"/>
      <c r="J73" s="217">
        <f t="shared" si="14"/>
        <v>20</v>
      </c>
      <c r="K73" s="200">
        <f t="shared" si="10"/>
        <v>20</v>
      </c>
      <c r="L73" s="218">
        <f t="shared" si="11"/>
        <v>2.6425819337965027E-2</v>
      </c>
      <c r="M73" s="219">
        <f t="shared" si="3"/>
        <v>6.6691630370471016</v>
      </c>
      <c r="N73" s="220">
        <f t="shared" si="4"/>
        <v>430.50326066369155</v>
      </c>
      <c r="O73" s="204">
        <f t="shared" si="5"/>
        <v>410.50326066369155</v>
      </c>
      <c r="P73" s="221">
        <f t="shared" si="6"/>
        <v>5249.6464169650626</v>
      </c>
      <c r="Q73" s="209">
        <f>NPV($F$36,O44:O73)</f>
        <v>5249.6464169650626</v>
      </c>
      <c r="R73" s="222">
        <f t="shared" si="0"/>
        <v>0</v>
      </c>
      <c r="S73" s="223"/>
      <c r="T73" s="224"/>
      <c r="U73" s="225"/>
      <c r="V73" s="225"/>
      <c r="W73" s="225"/>
      <c r="X73" s="225"/>
      <c r="Y73" s="225"/>
      <c r="Z73" s="225"/>
      <c r="AA73" s="225"/>
      <c r="AB73" s="225"/>
      <c r="AC73" s="225"/>
    </row>
    <row r="74" spans="1:29" ht="15.75" x14ac:dyDescent="0.25">
      <c r="A74" s="192">
        <v>30</v>
      </c>
      <c r="B74" s="211">
        <f t="shared" si="7"/>
        <v>2511.1112495681164</v>
      </c>
      <c r="C74" s="212">
        <f t="shared" si="8"/>
        <v>0.18846551014378904</v>
      </c>
      <c r="D74" s="213">
        <f t="shared" si="1"/>
        <v>473.25786267766262</v>
      </c>
      <c r="E74" s="214"/>
      <c r="F74" s="215"/>
      <c r="G74" s="198" t="s">
        <v>4</v>
      </c>
      <c r="H74" s="216"/>
      <c r="I74" s="216"/>
      <c r="J74" s="217">
        <f t="shared" si="14"/>
        <v>20</v>
      </c>
      <c r="K74" s="200">
        <f t="shared" si="10"/>
        <v>20</v>
      </c>
      <c r="L74" s="218">
        <f t="shared" si="11"/>
        <v>2.6690077531344676E-2</v>
      </c>
      <c r="M74" s="219">
        <f t="shared" si="3"/>
        <v>6.7021753940804834</v>
      </c>
      <c r="N74" s="220">
        <f t="shared" si="4"/>
        <v>432.63425180397684</v>
      </c>
      <c r="O74" s="204">
        <f t="shared" si="5"/>
        <v>412.63425180397684</v>
      </c>
      <c r="P74" s="221">
        <f t="shared" si="6"/>
        <v>5662.280668769039</v>
      </c>
      <c r="Q74" s="209">
        <f>NPV($F$36,O44:O74)</f>
        <v>5662.280668769039</v>
      </c>
      <c r="R74" s="222">
        <f t="shared" si="0"/>
        <v>0</v>
      </c>
      <c r="S74" s="223"/>
      <c r="T74" s="224"/>
      <c r="U74" s="225"/>
      <c r="V74" s="225"/>
      <c r="W74" s="225"/>
      <c r="X74" s="225"/>
      <c r="Y74" s="225"/>
      <c r="Z74" s="225"/>
      <c r="AA74" s="225"/>
      <c r="AB74" s="225"/>
      <c r="AC74" s="225"/>
    </row>
    <row r="75" spans="1:29" ht="15.75" x14ac:dyDescent="0.25">
      <c r="A75" s="226" t="s">
        <v>34</v>
      </c>
      <c r="B75" s="227">
        <f>SUM(B44:B74)</f>
        <v>81088.861335944428</v>
      </c>
      <c r="C75" s="228"/>
      <c r="D75" s="229">
        <f>SUM(D44:D74)</f>
        <v>13228.81888846814</v>
      </c>
      <c r="E75" s="230"/>
      <c r="F75" s="230"/>
      <c r="G75" s="231">
        <f>SUM(G44:G74)</f>
        <v>0</v>
      </c>
      <c r="H75" s="231"/>
      <c r="I75" s="231"/>
      <c r="J75" s="232">
        <f>SUM(J44:J74)</f>
        <v>1076</v>
      </c>
      <c r="K75" s="231">
        <f>SUM(K44:K74)</f>
        <v>6431</v>
      </c>
      <c r="L75" s="228"/>
      <c r="M75" s="231">
        <f>SUM(M44:M74)</f>
        <v>187.34366914771405</v>
      </c>
      <c r="N75" s="232">
        <f>SUM(N44:N74)</f>
        <v>12093.280668769041</v>
      </c>
      <c r="O75" s="233"/>
      <c r="P75" s="234"/>
      <c r="Q75" s="235"/>
      <c r="R75" s="236">
        <f>SUM(R44:R73)</f>
        <v>15</v>
      </c>
      <c r="S75" s="224"/>
      <c r="T75" s="224"/>
      <c r="U75" s="225"/>
      <c r="V75" s="225"/>
      <c r="W75" s="225"/>
      <c r="X75" s="225"/>
      <c r="Y75" s="225"/>
      <c r="Z75" s="225"/>
      <c r="AA75" s="225"/>
      <c r="AB75" s="225"/>
      <c r="AC75" s="225"/>
    </row>
    <row r="76" spans="1:29" ht="15.75" x14ac:dyDescent="0.25">
      <c r="A76" s="145"/>
      <c r="B76" s="145"/>
      <c r="C76" s="145"/>
      <c r="D76" s="145"/>
      <c r="E76" s="145"/>
      <c r="F76" s="145"/>
      <c r="G76" s="145"/>
      <c r="H76" s="145"/>
      <c r="I76" s="145"/>
      <c r="J76" s="145"/>
      <c r="K76" s="145"/>
      <c r="L76" s="145"/>
      <c r="M76" s="237"/>
      <c r="N76" s="145"/>
      <c r="O76" s="145"/>
      <c r="P76" s="145"/>
      <c r="Q76" s="145"/>
      <c r="R76" s="145"/>
      <c r="S76" s="145"/>
      <c r="T76" s="145"/>
      <c r="U76" s="145"/>
      <c r="V76" s="145"/>
      <c r="W76" s="145"/>
      <c r="X76" s="145"/>
      <c r="Y76" s="145"/>
      <c r="Z76" s="145"/>
    </row>
    <row r="77" spans="1:29" ht="16.5" thickBot="1" x14ac:dyDescent="0.3">
      <c r="A77" s="238" t="s">
        <v>35</v>
      </c>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row>
    <row r="78" spans="1:29" ht="15.75" x14ac:dyDescent="0.25">
      <c r="A78" s="404" t="s">
        <v>200</v>
      </c>
      <c r="B78" s="405"/>
      <c r="C78" s="405"/>
      <c r="D78" s="406"/>
      <c r="E78" s="239">
        <f>Q74</f>
        <v>5662.280668769039</v>
      </c>
      <c r="F78" s="240" t="s">
        <v>15</v>
      </c>
      <c r="G78" s="145"/>
      <c r="H78" s="145"/>
      <c r="I78" s="145"/>
      <c r="J78" s="145"/>
      <c r="K78" s="145"/>
      <c r="L78" s="145"/>
      <c r="M78" s="145"/>
      <c r="N78" s="145"/>
      <c r="O78" s="145"/>
      <c r="P78" s="145"/>
      <c r="Q78" s="145"/>
      <c r="R78" s="145"/>
      <c r="S78" s="145"/>
      <c r="T78" s="145"/>
      <c r="U78" s="145"/>
      <c r="V78" s="145"/>
      <c r="W78" s="145"/>
      <c r="X78" s="145"/>
      <c r="Y78" s="145"/>
      <c r="Z78" s="145"/>
    </row>
    <row r="79" spans="1:29" ht="15.75" x14ac:dyDescent="0.25">
      <c r="A79" s="407" t="s">
        <v>36</v>
      </c>
      <c r="B79" s="408"/>
      <c r="C79" s="408"/>
      <c r="D79" s="409"/>
      <c r="E79" s="241">
        <f>R75</f>
        <v>15</v>
      </c>
      <c r="F79" s="240" t="s">
        <v>37</v>
      </c>
      <c r="G79" s="145"/>
      <c r="H79" s="145"/>
      <c r="I79" s="145"/>
      <c r="J79" s="145"/>
      <c r="K79" s="145"/>
      <c r="L79" s="145"/>
      <c r="M79" s="145"/>
      <c r="N79" s="145"/>
      <c r="O79" s="145"/>
      <c r="P79" s="145"/>
      <c r="Q79" s="145"/>
      <c r="R79" s="145"/>
      <c r="S79" s="145"/>
      <c r="T79" s="145"/>
      <c r="U79" s="145"/>
      <c r="V79" s="145"/>
      <c r="W79" s="145"/>
      <c r="X79" s="145"/>
      <c r="Y79" s="145"/>
      <c r="Z79" s="145"/>
    </row>
    <row r="80" spans="1:29" ht="15.75" customHeight="1" x14ac:dyDescent="0.25">
      <c r="A80" s="410" t="s">
        <v>38</v>
      </c>
      <c r="B80" s="410"/>
      <c r="C80" s="410"/>
      <c r="D80" s="410"/>
      <c r="E80" s="242">
        <f>IRR(O44:O74,0.1)</f>
        <v>5.3149668080025192E-2</v>
      </c>
      <c r="F80" s="243"/>
      <c r="G80" s="145"/>
      <c r="H80" s="145"/>
      <c r="I80" s="145"/>
      <c r="J80" s="145"/>
      <c r="K80" s="145"/>
      <c r="L80" s="145"/>
      <c r="M80" s="145"/>
      <c r="N80" s="145"/>
      <c r="O80" s="145"/>
      <c r="P80" s="145"/>
      <c r="Q80" s="145"/>
      <c r="R80" s="145"/>
      <c r="S80" s="145"/>
      <c r="T80" s="145"/>
      <c r="U80" s="145"/>
      <c r="V80" s="145"/>
      <c r="W80" s="145"/>
      <c r="X80" s="145"/>
      <c r="Y80" s="145"/>
      <c r="Z80" s="145"/>
    </row>
    <row r="81" spans="1:26" ht="15.75" customHeight="1" x14ac:dyDescent="0.25">
      <c r="A81" s="238" t="s">
        <v>39</v>
      </c>
      <c r="B81" s="244"/>
      <c r="C81" s="244"/>
      <c r="D81" s="245"/>
      <c r="E81" s="246"/>
      <c r="F81" s="243"/>
      <c r="G81" s="145"/>
      <c r="H81" s="145"/>
      <c r="I81" s="145"/>
      <c r="J81" s="145"/>
      <c r="K81" s="145"/>
      <c r="L81" s="145"/>
      <c r="M81" s="145"/>
      <c r="N81" s="145"/>
      <c r="O81" s="145"/>
      <c r="P81" s="145"/>
      <c r="Q81" s="145"/>
      <c r="R81" s="145"/>
      <c r="S81" s="145"/>
      <c r="T81" s="145"/>
      <c r="U81" s="145"/>
      <c r="V81" s="145"/>
      <c r="W81" s="145"/>
      <c r="X81" s="145"/>
      <c r="Y81" s="145"/>
      <c r="Z81" s="145"/>
    </row>
    <row r="82" spans="1:26" ht="15.75" customHeight="1" x14ac:dyDescent="0.25">
      <c r="A82" s="411" t="s">
        <v>40</v>
      </c>
      <c r="B82" s="395"/>
      <c r="C82" s="395"/>
      <c r="D82" s="396"/>
      <c r="E82" s="247">
        <f>K75*100/B75</f>
        <v>7.930805654499081</v>
      </c>
      <c r="F82" s="248" t="s">
        <v>3</v>
      </c>
      <c r="G82" s="145"/>
      <c r="H82" s="145"/>
      <c r="I82" s="145"/>
      <c r="J82" s="145"/>
      <c r="K82" s="145"/>
      <c r="L82" s="145"/>
      <c r="M82" s="145"/>
      <c r="N82" s="145"/>
      <c r="O82" s="145"/>
      <c r="P82" s="145"/>
      <c r="Q82" s="145"/>
      <c r="R82" s="145"/>
      <c r="S82" s="145"/>
      <c r="T82" s="145"/>
      <c r="U82" s="145"/>
      <c r="V82" s="145"/>
      <c r="W82" s="145"/>
      <c r="X82" s="145"/>
      <c r="Y82" s="145"/>
      <c r="Z82" s="145"/>
    </row>
    <row r="83" spans="1:26" ht="15.75" customHeight="1" x14ac:dyDescent="0.25">
      <c r="A83" s="397" t="s">
        <v>41</v>
      </c>
      <c r="B83" s="395"/>
      <c r="C83" s="395"/>
      <c r="D83" s="396"/>
      <c r="E83" s="249">
        <f>AVERAGE(C44:C74)*100</f>
        <v>16.375005081742302</v>
      </c>
      <c r="F83" s="250" t="s">
        <v>42</v>
      </c>
      <c r="G83" s="145"/>
      <c r="H83" s="145"/>
      <c r="I83" s="145"/>
      <c r="J83" s="145"/>
      <c r="K83" s="145"/>
      <c r="L83" s="145"/>
      <c r="M83" s="145"/>
      <c r="N83" s="145"/>
      <c r="O83" s="145"/>
      <c r="P83" s="145"/>
      <c r="Q83" s="145"/>
      <c r="R83" s="145"/>
      <c r="S83" s="145"/>
      <c r="T83" s="145"/>
      <c r="U83" s="145"/>
      <c r="V83" s="145"/>
      <c r="W83" s="145"/>
      <c r="X83" s="145"/>
      <c r="Y83" s="145"/>
      <c r="Z83" s="145"/>
    </row>
    <row r="84" spans="1:26" ht="15.75" x14ac:dyDescent="0.25">
      <c r="A84" s="145"/>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row>
    <row r="85" spans="1:26" ht="15.75" x14ac:dyDescent="0.25">
      <c r="A85" s="157" t="s">
        <v>4</v>
      </c>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row>
    <row r="86" spans="1:26" ht="15.75" x14ac:dyDescent="0.25">
      <c r="A86" s="251" t="s">
        <v>91</v>
      </c>
      <c r="B86" s="252"/>
      <c r="C86" s="252"/>
      <c r="D86" s="252"/>
      <c r="E86" s="252"/>
      <c r="F86" s="252"/>
      <c r="G86" s="252"/>
      <c r="H86" s="252"/>
      <c r="I86" s="252"/>
      <c r="J86" s="145"/>
      <c r="K86" s="145"/>
      <c r="L86" s="145"/>
      <c r="M86" s="145"/>
      <c r="N86" s="145"/>
      <c r="O86" s="145"/>
      <c r="P86" s="145"/>
      <c r="Q86" s="145"/>
      <c r="R86" s="145"/>
      <c r="S86" s="145"/>
      <c r="T86" s="145"/>
      <c r="U86" s="145"/>
      <c r="V86" s="145"/>
      <c r="W86" s="145"/>
      <c r="X86" s="145"/>
      <c r="Y86" s="145"/>
      <c r="Z86" s="145"/>
    </row>
    <row r="87" spans="1:26" ht="15.75" x14ac:dyDescent="0.25">
      <c r="A87" s="398" t="s">
        <v>92</v>
      </c>
      <c r="B87" s="398"/>
      <c r="C87" s="398"/>
      <c r="D87" s="253">
        <v>84</v>
      </c>
      <c r="E87" s="252" t="s">
        <v>93</v>
      </c>
      <c r="F87" s="252" t="s">
        <v>4</v>
      </c>
      <c r="G87" s="252" t="s">
        <v>6</v>
      </c>
      <c r="H87" s="100">
        <v>2024</v>
      </c>
      <c r="I87" s="10" t="s">
        <v>274</v>
      </c>
      <c r="J87" s="145"/>
      <c r="K87" s="145"/>
      <c r="L87" s="145"/>
      <c r="M87" s="145"/>
      <c r="N87" s="145"/>
      <c r="O87" s="145"/>
      <c r="P87" s="145"/>
      <c r="Q87" s="145"/>
      <c r="R87" s="145"/>
      <c r="S87" s="145"/>
      <c r="T87" s="145"/>
      <c r="U87" s="145"/>
      <c r="V87" s="145"/>
      <c r="W87" s="145"/>
      <c r="X87" s="145"/>
      <c r="Y87" s="145"/>
      <c r="Z87" s="145"/>
    </row>
    <row r="88" spans="1:26" ht="15.75" x14ac:dyDescent="0.25">
      <c r="A88" s="398" t="s">
        <v>95</v>
      </c>
      <c r="B88" s="398"/>
      <c r="C88" s="398"/>
      <c r="D88" s="253">
        <v>106</v>
      </c>
      <c r="E88" s="252" t="s">
        <v>93</v>
      </c>
      <c r="F88" s="252"/>
      <c r="G88" s="252" t="s">
        <v>6</v>
      </c>
      <c r="H88" s="100">
        <v>2024</v>
      </c>
      <c r="I88" s="10" t="s">
        <v>274</v>
      </c>
      <c r="J88" s="145"/>
      <c r="K88" s="145"/>
      <c r="L88" s="145"/>
      <c r="M88" s="145"/>
      <c r="N88" s="145"/>
      <c r="O88" s="145"/>
      <c r="P88" s="145"/>
      <c r="Q88" s="145"/>
      <c r="R88" s="145"/>
      <c r="S88" s="145"/>
      <c r="T88" s="145"/>
      <c r="U88" s="145"/>
      <c r="V88" s="145"/>
      <c r="W88" s="145"/>
      <c r="X88" s="145"/>
      <c r="Y88" s="145"/>
      <c r="Z88" s="145"/>
    </row>
    <row r="89" spans="1:26" ht="15.75" x14ac:dyDescent="0.25">
      <c r="A89" s="398" t="s">
        <v>96</v>
      </c>
      <c r="B89" s="398"/>
      <c r="C89" s="398"/>
      <c r="D89" s="254">
        <v>261.72000000000003</v>
      </c>
      <c r="E89" s="252" t="s">
        <v>93</v>
      </c>
      <c r="F89" s="252"/>
      <c r="G89" s="252" t="s">
        <v>6</v>
      </c>
      <c r="H89" s="252">
        <v>2019</v>
      </c>
      <c r="I89" s="10" t="s">
        <v>94</v>
      </c>
      <c r="J89" s="145"/>
      <c r="K89" s="145"/>
      <c r="L89" s="145"/>
      <c r="M89" s="145"/>
      <c r="N89" s="145"/>
      <c r="O89" s="145"/>
      <c r="P89" s="145"/>
      <c r="Q89" s="145"/>
      <c r="R89" s="145"/>
      <c r="S89" s="145"/>
      <c r="T89" s="145"/>
      <c r="U89" s="145"/>
      <c r="V89" s="145"/>
      <c r="W89" s="145"/>
      <c r="X89" s="145"/>
      <c r="Y89" s="145"/>
      <c r="Z89" s="145"/>
    </row>
    <row r="90" spans="1:26" ht="15.75" x14ac:dyDescent="0.25">
      <c r="A90" s="398" t="s">
        <v>97</v>
      </c>
      <c r="B90" s="398"/>
      <c r="C90" s="398"/>
      <c r="D90" s="254">
        <f>(F21*D87)/1000</f>
        <v>243.93600000000001</v>
      </c>
      <c r="E90" s="252" t="s">
        <v>98</v>
      </c>
      <c r="F90" s="252" t="s">
        <v>4</v>
      </c>
      <c r="G90" s="252"/>
      <c r="H90" s="252"/>
      <c r="I90" s="252"/>
      <c r="J90" s="145"/>
      <c r="K90" s="145"/>
      <c r="L90" s="145"/>
      <c r="M90" s="145"/>
      <c r="N90" s="145"/>
      <c r="O90" s="145"/>
      <c r="P90" s="145"/>
      <c r="Q90" s="145"/>
      <c r="R90" s="145"/>
      <c r="S90" s="145"/>
      <c r="T90" s="145"/>
      <c r="U90" s="145"/>
      <c r="V90" s="145"/>
      <c r="W90" s="145"/>
      <c r="X90" s="145"/>
      <c r="Y90" s="145"/>
      <c r="Z90" s="145"/>
    </row>
    <row r="91" spans="1:26" ht="15.75" x14ac:dyDescent="0.25">
      <c r="A91" s="398" t="s">
        <v>120</v>
      </c>
      <c r="B91" s="398"/>
      <c r="C91" s="398"/>
      <c r="D91" s="254">
        <f>(F21*D87)/1000-0</f>
        <v>243.93600000000001</v>
      </c>
      <c r="E91" s="252" t="s">
        <v>98</v>
      </c>
      <c r="F91" s="252"/>
      <c r="G91" s="252" t="s">
        <v>275</v>
      </c>
      <c r="H91" s="252"/>
      <c r="I91" s="10" t="s">
        <v>276</v>
      </c>
      <c r="J91" s="145"/>
      <c r="K91" s="145"/>
      <c r="L91" s="145"/>
      <c r="M91" s="145"/>
      <c r="N91" s="145"/>
      <c r="O91" s="145"/>
      <c r="P91" s="145"/>
      <c r="Q91" s="145"/>
      <c r="R91" s="145"/>
      <c r="S91" s="145"/>
      <c r="T91" s="145"/>
      <c r="U91" s="145"/>
      <c r="V91" s="145"/>
      <c r="W91" s="145"/>
      <c r="X91" s="145"/>
      <c r="Y91" s="145"/>
      <c r="Z91" s="145"/>
    </row>
    <row r="92" spans="1:26" ht="15.75" x14ac:dyDescent="0.25">
      <c r="A92" s="255" t="s">
        <v>4</v>
      </c>
      <c r="B92" s="225"/>
      <c r="C92" s="225"/>
      <c r="D92" s="225"/>
      <c r="E92" s="145"/>
      <c r="F92" s="145"/>
      <c r="G92" s="145"/>
      <c r="H92" s="145"/>
      <c r="I92" s="145"/>
      <c r="J92" s="145"/>
      <c r="K92" s="145"/>
      <c r="L92" s="145"/>
      <c r="M92" s="145"/>
      <c r="N92" s="145"/>
      <c r="O92" s="145"/>
      <c r="P92" s="145"/>
      <c r="Q92" s="145"/>
      <c r="R92" s="145"/>
      <c r="S92" s="145"/>
      <c r="T92" s="145"/>
      <c r="U92" s="145"/>
      <c r="V92" s="145"/>
      <c r="W92" s="145"/>
      <c r="X92" s="145"/>
      <c r="Y92" s="145"/>
      <c r="Z92" s="145"/>
    </row>
    <row r="93" spans="1:26" ht="15.75" x14ac:dyDescent="0.25">
      <c r="A93" s="238"/>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row>
    <row r="94" spans="1:26" ht="15.75" x14ac:dyDescent="0.25">
      <c r="A94" s="148" t="s">
        <v>201</v>
      </c>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row>
    <row r="95" spans="1:26" ht="15.75" x14ac:dyDescent="0.25">
      <c r="A95" s="399" t="s">
        <v>11</v>
      </c>
      <c r="B95" s="395"/>
      <c r="C95" s="396"/>
      <c r="D95" s="256">
        <v>3300</v>
      </c>
      <c r="E95" s="155" t="s">
        <v>202</v>
      </c>
      <c r="F95" s="145" t="s">
        <v>203</v>
      </c>
      <c r="G95" s="145"/>
      <c r="H95" s="145"/>
      <c r="I95" s="145"/>
      <c r="J95" s="145"/>
      <c r="K95" s="145"/>
      <c r="L95" s="145"/>
      <c r="M95" s="145"/>
      <c r="N95" s="145"/>
      <c r="O95" s="145"/>
      <c r="P95" s="145"/>
      <c r="Q95" s="145"/>
      <c r="R95" s="145"/>
      <c r="S95" s="145"/>
      <c r="T95" s="145"/>
      <c r="U95" s="145"/>
      <c r="V95" s="145"/>
      <c r="W95" s="145"/>
      <c r="X95" s="145"/>
      <c r="Y95" s="145"/>
      <c r="Z95" s="145"/>
    </row>
    <row r="96" spans="1:26" ht="15.75" x14ac:dyDescent="0.25">
      <c r="A96" s="399" t="s">
        <v>204</v>
      </c>
      <c r="B96" s="395"/>
      <c r="C96" s="396"/>
      <c r="D96" s="161">
        <v>0.13</v>
      </c>
      <c r="E96" s="155" t="s">
        <v>8</v>
      </c>
      <c r="F96" s="145"/>
      <c r="G96" s="145"/>
      <c r="H96" s="145"/>
      <c r="I96" s="145"/>
      <c r="J96" s="145"/>
      <c r="K96" s="145"/>
      <c r="L96" s="145"/>
      <c r="M96" s="145"/>
      <c r="N96" s="145"/>
      <c r="O96" s="145"/>
      <c r="P96" s="145"/>
      <c r="Q96" s="145"/>
      <c r="R96" s="145"/>
      <c r="S96" s="145"/>
      <c r="T96" s="145"/>
      <c r="U96" s="145"/>
      <c r="V96" s="145"/>
      <c r="W96" s="145"/>
      <c r="X96" s="145"/>
      <c r="Y96" s="145"/>
      <c r="Z96" s="145"/>
    </row>
    <row r="97" spans="1:26" ht="15.75" x14ac:dyDescent="0.25">
      <c r="A97" s="399" t="s">
        <v>205</v>
      </c>
      <c r="B97" s="395"/>
      <c r="C97" s="396"/>
      <c r="D97" s="161">
        <v>0.4</v>
      </c>
      <c r="E97" s="145" t="s">
        <v>8</v>
      </c>
      <c r="F97" s="145" t="s">
        <v>206</v>
      </c>
      <c r="G97" s="145"/>
      <c r="H97" s="145"/>
      <c r="I97" s="145"/>
      <c r="J97" s="145"/>
      <c r="K97" s="145"/>
      <c r="L97" s="145"/>
      <c r="M97" s="145"/>
      <c r="N97" s="145"/>
      <c r="O97" s="145"/>
      <c r="P97" s="145"/>
      <c r="Q97" s="145"/>
      <c r="R97" s="145"/>
      <c r="S97" s="145"/>
      <c r="T97" s="145"/>
      <c r="U97" s="145"/>
      <c r="V97" s="145"/>
      <c r="W97" s="145"/>
      <c r="X97" s="145"/>
      <c r="Y97" s="145"/>
      <c r="Z97" s="145"/>
    </row>
    <row r="98" spans="1:26" ht="15.75" x14ac:dyDescent="0.25">
      <c r="A98" s="400" t="s">
        <v>207</v>
      </c>
      <c r="B98" s="395"/>
      <c r="C98" s="396"/>
      <c r="D98" s="192">
        <f>D95/250*1.7</f>
        <v>22.439999999999998</v>
      </c>
      <c r="E98" s="145" t="s">
        <v>14</v>
      </c>
      <c r="F98" s="145"/>
      <c r="G98" s="145"/>
      <c r="H98" s="145"/>
      <c r="I98" s="145"/>
      <c r="J98" s="145"/>
      <c r="K98" s="145"/>
      <c r="L98" s="145"/>
      <c r="M98" s="145"/>
      <c r="N98" s="145"/>
      <c r="O98" s="145"/>
      <c r="P98" s="145"/>
      <c r="Q98" s="145"/>
      <c r="R98" s="145"/>
      <c r="S98" s="145"/>
      <c r="T98" s="145"/>
      <c r="U98" s="145"/>
      <c r="V98" s="145"/>
      <c r="W98" s="145"/>
      <c r="X98" s="145"/>
      <c r="Y98" s="145"/>
      <c r="Z98" s="145"/>
    </row>
    <row r="99" spans="1:26" ht="15.75" x14ac:dyDescent="0.25">
      <c r="A99" s="174"/>
      <c r="B99" s="175"/>
      <c r="C99" s="175"/>
      <c r="D99" s="176"/>
      <c r="E99" s="145"/>
      <c r="F99" s="145"/>
      <c r="G99" s="145"/>
      <c r="H99" s="145"/>
      <c r="I99" s="145"/>
      <c r="J99" s="145"/>
      <c r="K99" s="145"/>
      <c r="L99" s="145"/>
      <c r="M99" s="145"/>
      <c r="N99" s="145"/>
      <c r="O99" s="145"/>
      <c r="P99" s="145"/>
      <c r="Q99" s="145"/>
      <c r="R99" s="145"/>
      <c r="S99" s="145"/>
      <c r="T99" s="145"/>
      <c r="U99" s="145"/>
      <c r="V99" s="145"/>
      <c r="W99" s="145"/>
      <c r="X99" s="145"/>
      <c r="Y99" s="145"/>
      <c r="Z99" s="145"/>
    </row>
    <row r="100" spans="1:26" ht="15.75" x14ac:dyDescent="0.25">
      <c r="A100" s="149"/>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row>
    <row r="101" spans="1:26" ht="105" x14ac:dyDescent="0.25">
      <c r="A101" s="257" t="s">
        <v>208</v>
      </c>
      <c r="B101" s="258" t="s">
        <v>209</v>
      </c>
      <c r="C101" s="258" t="s">
        <v>210</v>
      </c>
      <c r="D101" s="258" t="s">
        <v>211</v>
      </c>
      <c r="E101" s="258" t="s">
        <v>212</v>
      </c>
      <c r="F101" s="258" t="s">
        <v>213</v>
      </c>
      <c r="G101" s="259" t="s">
        <v>214</v>
      </c>
      <c r="H101" s="258" t="s">
        <v>215</v>
      </c>
      <c r="I101" s="258" t="s">
        <v>216</v>
      </c>
      <c r="J101" s="258" t="s">
        <v>217</v>
      </c>
      <c r="K101" s="258" t="s">
        <v>218</v>
      </c>
      <c r="L101" s="258" t="s">
        <v>219</v>
      </c>
      <c r="M101" s="150"/>
      <c r="N101" s="145"/>
      <c r="O101" s="145"/>
      <c r="P101" s="145"/>
      <c r="Q101" s="145"/>
      <c r="R101" s="145"/>
      <c r="S101" s="145"/>
      <c r="T101" s="145"/>
      <c r="U101" s="145"/>
      <c r="V101" s="145"/>
      <c r="W101" s="145"/>
      <c r="X101" s="145"/>
      <c r="Y101" s="145"/>
      <c r="Z101" s="145"/>
    </row>
    <row r="102" spans="1:26" ht="15.75" x14ac:dyDescent="0.25">
      <c r="A102" s="260" t="s">
        <v>62</v>
      </c>
      <c r="B102" s="192">
        <v>31</v>
      </c>
      <c r="C102" s="261">
        <f>0.09*F16</f>
        <v>1107</v>
      </c>
      <c r="D102" s="262">
        <v>0.32</v>
      </c>
      <c r="E102" s="151">
        <f>($F$14*10)</f>
        <v>141.22514999999999</v>
      </c>
      <c r="F102" s="151">
        <f>$F$24*10</f>
        <v>20</v>
      </c>
      <c r="G102" s="263">
        <f t="shared" ref="G102:G113" si="15">D102*B102*$D$98*$D$96</f>
        <v>28.938623999999997</v>
      </c>
      <c r="H102" s="264">
        <f t="shared" ref="H102:H113" si="16">IF(C102*$D$97-G102&gt;0, G102,$D$97*C102)</f>
        <v>28.938623999999997</v>
      </c>
      <c r="I102" s="264">
        <f t="shared" ref="I102:I113" si="17">G102-H102</f>
        <v>0</v>
      </c>
      <c r="J102" s="264">
        <f t="shared" ref="J102:J113" si="18">C102-H102</f>
        <v>1078.0613760000001</v>
      </c>
      <c r="K102" s="208">
        <f t="shared" ref="K102:K113" si="19">G102*E102/1000</f>
        <v>4.0868615151935987</v>
      </c>
      <c r="L102" s="208">
        <f t="shared" ref="L102:L113" si="20">I102*F102/1000</f>
        <v>0</v>
      </c>
      <c r="M102" s="150"/>
      <c r="N102" s="145"/>
      <c r="O102" s="145"/>
      <c r="P102" s="145"/>
      <c r="Q102" s="145"/>
      <c r="R102" s="145"/>
      <c r="S102" s="145"/>
      <c r="T102" s="145"/>
      <c r="U102" s="145"/>
      <c r="V102" s="145"/>
      <c r="W102" s="145"/>
      <c r="X102" s="145"/>
      <c r="Y102" s="145"/>
      <c r="Z102" s="145"/>
    </row>
    <row r="103" spans="1:26" ht="15.75" x14ac:dyDescent="0.25">
      <c r="A103" s="260" t="s">
        <v>63</v>
      </c>
      <c r="B103" s="192">
        <v>28</v>
      </c>
      <c r="C103" s="261">
        <f>0.09*F16</f>
        <v>1107</v>
      </c>
      <c r="D103" s="262">
        <v>1.1000000000000001</v>
      </c>
      <c r="E103" s="151">
        <f t="shared" ref="E103:E113" si="21">($F$14*10)</f>
        <v>141.22514999999999</v>
      </c>
      <c r="F103" s="151">
        <f t="shared" ref="F103:F113" si="22">$F$24*10</f>
        <v>20</v>
      </c>
      <c r="G103" s="263">
        <f t="shared" si="15"/>
        <v>89.849760000000003</v>
      </c>
      <c r="H103" s="264">
        <f t="shared" si="16"/>
        <v>89.849760000000003</v>
      </c>
      <c r="I103" s="264">
        <f t="shared" si="17"/>
        <v>0</v>
      </c>
      <c r="J103" s="264">
        <f t="shared" si="18"/>
        <v>1017.1502399999999</v>
      </c>
      <c r="K103" s="208">
        <f t="shared" si="19"/>
        <v>12.689045833463998</v>
      </c>
      <c r="L103" s="208">
        <f t="shared" si="20"/>
        <v>0</v>
      </c>
      <c r="M103" s="150"/>
      <c r="N103" s="145"/>
      <c r="O103" s="145"/>
      <c r="P103" s="145"/>
      <c r="Q103" s="145"/>
      <c r="R103" s="145"/>
      <c r="S103" s="145"/>
      <c r="T103" s="145"/>
      <c r="U103" s="145"/>
      <c r="V103" s="145"/>
      <c r="W103" s="145"/>
      <c r="X103" s="145"/>
      <c r="Y103" s="145"/>
      <c r="Z103" s="145"/>
    </row>
    <row r="104" spans="1:26" ht="15.75" x14ac:dyDescent="0.25">
      <c r="A104" s="260" t="s">
        <v>64</v>
      </c>
      <c r="B104" s="192">
        <v>31</v>
      </c>
      <c r="C104" s="261">
        <f>0.084*F16</f>
        <v>1033.2</v>
      </c>
      <c r="D104" s="262">
        <v>2.44</v>
      </c>
      <c r="E104" s="151">
        <f t="shared" si="21"/>
        <v>141.22514999999999</v>
      </c>
      <c r="F104" s="151">
        <f t="shared" si="22"/>
        <v>20</v>
      </c>
      <c r="G104" s="263">
        <f t="shared" si="15"/>
        <v>220.65700799999999</v>
      </c>
      <c r="H104" s="264">
        <f t="shared" si="16"/>
        <v>220.65700799999999</v>
      </c>
      <c r="I104" s="264">
        <f t="shared" si="17"/>
        <v>0</v>
      </c>
      <c r="J104" s="264">
        <f t="shared" si="18"/>
        <v>812.54299200000003</v>
      </c>
      <c r="K104" s="208">
        <f t="shared" si="19"/>
        <v>31.162319053351194</v>
      </c>
      <c r="L104" s="208">
        <f t="shared" si="20"/>
        <v>0</v>
      </c>
      <c r="M104" s="150"/>
      <c r="N104" s="145"/>
      <c r="O104" s="145"/>
      <c r="P104" s="145"/>
      <c r="Q104" s="145"/>
      <c r="R104" s="145"/>
      <c r="S104" s="145"/>
      <c r="T104" s="145"/>
      <c r="U104" s="145"/>
      <c r="V104" s="145"/>
      <c r="W104" s="145"/>
      <c r="X104" s="145"/>
      <c r="Y104" s="145"/>
      <c r="Z104" s="145"/>
    </row>
    <row r="105" spans="1:26" ht="15.75" x14ac:dyDescent="0.25">
      <c r="A105" s="260" t="s">
        <v>65</v>
      </c>
      <c r="B105" s="192">
        <v>30</v>
      </c>
      <c r="C105" s="261">
        <f>0.084*F16</f>
        <v>1033.2</v>
      </c>
      <c r="D105" s="262">
        <v>3.96</v>
      </c>
      <c r="E105" s="151">
        <f t="shared" si="21"/>
        <v>141.22514999999999</v>
      </c>
      <c r="F105" s="151">
        <f t="shared" si="22"/>
        <v>20</v>
      </c>
      <c r="G105" s="263">
        <f t="shared" si="15"/>
        <v>346.56335999999999</v>
      </c>
      <c r="H105" s="264">
        <f t="shared" si="16"/>
        <v>346.56335999999999</v>
      </c>
      <c r="I105" s="264">
        <f t="shared" si="17"/>
        <v>0</v>
      </c>
      <c r="J105" s="264">
        <f t="shared" si="18"/>
        <v>686.63664000000006</v>
      </c>
      <c r="K105" s="208">
        <f t="shared" si="19"/>
        <v>48.94346250050399</v>
      </c>
      <c r="L105" s="208">
        <f t="shared" si="20"/>
        <v>0</v>
      </c>
      <c r="M105" s="150"/>
      <c r="N105" s="145"/>
      <c r="O105" s="145"/>
      <c r="P105" s="145"/>
      <c r="Q105" s="145"/>
      <c r="R105" s="145"/>
      <c r="S105" s="145"/>
      <c r="T105" s="145"/>
      <c r="U105" s="145"/>
      <c r="V105" s="145"/>
      <c r="W105" s="145"/>
      <c r="X105" s="145"/>
      <c r="Y105" s="145"/>
      <c r="Z105" s="145"/>
    </row>
    <row r="106" spans="1:26" ht="15.75" x14ac:dyDescent="0.25">
      <c r="A106" s="260" t="s">
        <v>66</v>
      </c>
      <c r="B106" s="192">
        <v>31</v>
      </c>
      <c r="C106" s="261">
        <f>0.079*F16</f>
        <v>971.7</v>
      </c>
      <c r="D106" s="262">
        <v>5.41</v>
      </c>
      <c r="E106" s="151">
        <f t="shared" si="21"/>
        <v>141.22514999999999</v>
      </c>
      <c r="F106" s="151">
        <f t="shared" si="22"/>
        <v>20</v>
      </c>
      <c r="G106" s="263">
        <f t="shared" si="15"/>
        <v>489.24361199999998</v>
      </c>
      <c r="H106" s="264">
        <f t="shared" si="16"/>
        <v>388.68000000000006</v>
      </c>
      <c r="I106" s="264">
        <f t="shared" si="17"/>
        <v>100.56361199999992</v>
      </c>
      <c r="J106" s="264">
        <f t="shared" si="18"/>
        <v>583.02</v>
      </c>
      <c r="K106" s="208">
        <f t="shared" si="19"/>
        <v>69.093502491241793</v>
      </c>
      <c r="L106" s="208">
        <f t="shared" si="20"/>
        <v>2.0112722399999985</v>
      </c>
      <c r="M106" s="150"/>
      <c r="N106" s="145"/>
      <c r="O106" s="145"/>
      <c r="P106" s="145"/>
      <c r="Q106" s="145"/>
      <c r="R106" s="145"/>
      <c r="S106" s="145"/>
      <c r="T106" s="145"/>
      <c r="U106" s="145"/>
      <c r="V106" s="145"/>
      <c r="W106" s="145"/>
      <c r="X106" s="145"/>
      <c r="Y106" s="145"/>
      <c r="Z106" s="145"/>
    </row>
    <row r="107" spans="1:26" ht="15.75" x14ac:dyDescent="0.25">
      <c r="A107" s="260" t="s">
        <v>67</v>
      </c>
      <c r="B107" s="192">
        <v>30</v>
      </c>
      <c r="C107" s="261">
        <f>0.07*F16</f>
        <v>861.00000000000011</v>
      </c>
      <c r="D107" s="262">
        <v>5.63</v>
      </c>
      <c r="E107" s="151">
        <f t="shared" si="21"/>
        <v>141.22514999999999</v>
      </c>
      <c r="F107" s="151">
        <f t="shared" si="22"/>
        <v>20</v>
      </c>
      <c r="G107" s="263">
        <f t="shared" si="15"/>
        <v>492.71507999999994</v>
      </c>
      <c r="H107" s="264">
        <f t="shared" si="16"/>
        <v>344.40000000000009</v>
      </c>
      <c r="I107" s="264">
        <f t="shared" si="17"/>
        <v>148.31507999999985</v>
      </c>
      <c r="J107" s="264">
        <f t="shared" si="18"/>
        <v>516.6</v>
      </c>
      <c r="K107" s="208">
        <f t="shared" si="19"/>
        <v>69.583761080261993</v>
      </c>
      <c r="L107" s="208">
        <f t="shared" si="20"/>
        <v>2.9663015999999969</v>
      </c>
      <c r="M107" s="150"/>
      <c r="N107" s="145"/>
      <c r="O107" s="145"/>
      <c r="P107" s="145"/>
      <c r="Q107" s="145"/>
      <c r="R107" s="145"/>
      <c r="S107" s="145"/>
      <c r="T107" s="145"/>
      <c r="U107" s="145"/>
      <c r="V107" s="145"/>
      <c r="W107" s="145"/>
      <c r="X107" s="145"/>
      <c r="Y107" s="145"/>
      <c r="Z107" s="145"/>
    </row>
    <row r="108" spans="1:26" ht="15.75" x14ac:dyDescent="0.25">
      <c r="A108" s="260" t="s">
        <v>68</v>
      </c>
      <c r="B108" s="192">
        <v>31</v>
      </c>
      <c r="C108" s="261">
        <f>0.07*F16</f>
        <v>861.00000000000011</v>
      </c>
      <c r="D108" s="262">
        <v>5.6</v>
      </c>
      <c r="E108" s="151">
        <f t="shared" si="21"/>
        <v>141.22514999999999</v>
      </c>
      <c r="F108" s="151">
        <f t="shared" si="22"/>
        <v>20</v>
      </c>
      <c r="G108" s="263">
        <f t="shared" si="15"/>
        <v>506.42591999999996</v>
      </c>
      <c r="H108" s="264">
        <f t="shared" si="16"/>
        <v>344.40000000000009</v>
      </c>
      <c r="I108" s="264">
        <f t="shared" si="17"/>
        <v>162.02591999999987</v>
      </c>
      <c r="J108" s="264">
        <f t="shared" si="18"/>
        <v>516.6</v>
      </c>
      <c r="K108" s="208">
        <f t="shared" si="19"/>
        <v>71.520076515887979</v>
      </c>
      <c r="L108" s="208">
        <f t="shared" si="20"/>
        <v>3.2405183999999974</v>
      </c>
      <c r="M108" s="150"/>
      <c r="N108" s="145"/>
      <c r="O108" s="145"/>
      <c r="P108" s="145"/>
      <c r="Q108" s="145"/>
      <c r="R108" s="145"/>
      <c r="S108" s="145"/>
      <c r="T108" s="145"/>
      <c r="U108" s="145"/>
      <c r="V108" s="145"/>
      <c r="W108" s="145"/>
      <c r="X108" s="145"/>
      <c r="Y108" s="145"/>
      <c r="Z108" s="145"/>
    </row>
    <row r="109" spans="1:26" ht="15.75" x14ac:dyDescent="0.25">
      <c r="A109" s="260" t="s">
        <v>69</v>
      </c>
      <c r="B109" s="192">
        <v>31</v>
      </c>
      <c r="C109" s="261">
        <f>0.079*F16</f>
        <v>971.7</v>
      </c>
      <c r="D109" s="262">
        <v>4.09</v>
      </c>
      <c r="E109" s="151">
        <f t="shared" si="21"/>
        <v>141.22514999999999</v>
      </c>
      <c r="F109" s="151">
        <f t="shared" si="22"/>
        <v>20</v>
      </c>
      <c r="G109" s="263">
        <f t="shared" si="15"/>
        <v>369.87178799999992</v>
      </c>
      <c r="H109" s="264">
        <f t="shared" si="16"/>
        <v>369.87178799999992</v>
      </c>
      <c r="I109" s="264">
        <f t="shared" si="17"/>
        <v>0</v>
      </c>
      <c r="J109" s="264">
        <f t="shared" si="18"/>
        <v>601.82821200000012</v>
      </c>
      <c r="K109" s="208">
        <f t="shared" si="19"/>
        <v>52.235198741068182</v>
      </c>
      <c r="L109" s="208">
        <f t="shared" si="20"/>
        <v>0</v>
      </c>
      <c r="M109" s="150"/>
      <c r="N109" s="145"/>
      <c r="O109" s="145"/>
      <c r="P109" s="145"/>
      <c r="Q109" s="145"/>
      <c r="R109" s="145"/>
      <c r="S109" s="145"/>
      <c r="T109" s="145"/>
      <c r="U109" s="145"/>
      <c r="V109" s="145"/>
      <c r="W109" s="145"/>
      <c r="X109" s="145"/>
      <c r="Y109" s="145"/>
      <c r="Z109" s="145"/>
    </row>
    <row r="110" spans="1:26" ht="15.75" x14ac:dyDescent="0.25">
      <c r="A110" s="260" t="s">
        <v>70</v>
      </c>
      <c r="B110" s="192">
        <v>30</v>
      </c>
      <c r="C110" s="261">
        <f>0.084*F16</f>
        <v>1033.2</v>
      </c>
      <c r="D110" s="262">
        <v>2.54</v>
      </c>
      <c r="E110" s="151">
        <f t="shared" si="21"/>
        <v>141.22514999999999</v>
      </c>
      <c r="F110" s="151">
        <f t="shared" si="22"/>
        <v>20</v>
      </c>
      <c r="G110" s="263">
        <f t="shared" si="15"/>
        <v>222.29064</v>
      </c>
      <c r="H110" s="264">
        <f t="shared" si="16"/>
        <v>222.29064</v>
      </c>
      <c r="I110" s="264">
        <f t="shared" si="17"/>
        <v>0</v>
      </c>
      <c r="J110" s="264">
        <f t="shared" si="18"/>
        <v>810.90936000000011</v>
      </c>
      <c r="K110" s="208">
        <f t="shared" si="19"/>
        <v>31.393028977595996</v>
      </c>
      <c r="L110" s="208">
        <f t="shared" si="20"/>
        <v>0</v>
      </c>
      <c r="M110" s="150"/>
      <c r="N110" s="145"/>
      <c r="O110" s="145"/>
      <c r="P110" s="145"/>
      <c r="Q110" s="145"/>
      <c r="R110" s="145"/>
      <c r="S110" s="145"/>
      <c r="T110" s="145"/>
      <c r="U110" s="145"/>
      <c r="V110" s="145"/>
      <c r="W110" s="145"/>
      <c r="X110" s="145"/>
      <c r="Y110" s="145"/>
      <c r="Z110" s="145"/>
    </row>
    <row r="111" spans="1:26" ht="15.75" x14ac:dyDescent="0.25">
      <c r="A111" s="260" t="s">
        <v>71</v>
      </c>
      <c r="B111" s="192">
        <v>31</v>
      </c>
      <c r="C111" s="261">
        <f>0.09*F16</f>
        <v>1107</v>
      </c>
      <c r="D111" s="262">
        <v>1.18</v>
      </c>
      <c r="E111" s="151">
        <f t="shared" si="21"/>
        <v>141.22514999999999</v>
      </c>
      <c r="F111" s="151">
        <f t="shared" si="22"/>
        <v>20</v>
      </c>
      <c r="G111" s="263">
        <f t="shared" si="15"/>
        <v>106.71117599999998</v>
      </c>
      <c r="H111" s="264">
        <f t="shared" si="16"/>
        <v>106.71117599999998</v>
      </c>
      <c r="I111" s="264">
        <f t="shared" si="17"/>
        <v>0</v>
      </c>
      <c r="J111" s="264">
        <f t="shared" si="18"/>
        <v>1000.288824</v>
      </c>
      <c r="K111" s="208">
        <f t="shared" si="19"/>
        <v>15.070301837276396</v>
      </c>
      <c r="L111" s="208">
        <f t="shared" si="20"/>
        <v>0</v>
      </c>
      <c r="M111" s="150"/>
      <c r="N111" s="145"/>
      <c r="O111" s="145"/>
      <c r="P111" s="145"/>
      <c r="Q111" s="145"/>
      <c r="R111" s="145"/>
      <c r="S111" s="145"/>
      <c r="T111" s="145"/>
      <c r="U111" s="145"/>
      <c r="V111" s="145"/>
      <c r="W111" s="145"/>
      <c r="X111" s="145"/>
      <c r="Y111" s="145"/>
      <c r="Z111" s="145"/>
    </row>
    <row r="112" spans="1:26" ht="15.75" x14ac:dyDescent="0.25">
      <c r="A112" s="260" t="s">
        <v>72</v>
      </c>
      <c r="B112" s="192">
        <v>30</v>
      </c>
      <c r="C112" s="261">
        <f>0.09*F16</f>
        <v>1107</v>
      </c>
      <c r="D112" s="262">
        <v>0.5</v>
      </c>
      <c r="E112" s="151">
        <f t="shared" si="21"/>
        <v>141.22514999999999</v>
      </c>
      <c r="F112" s="151">
        <f t="shared" si="22"/>
        <v>20</v>
      </c>
      <c r="G112" s="263">
        <f t="shared" si="15"/>
        <v>43.757999999999996</v>
      </c>
      <c r="H112" s="264">
        <f t="shared" si="16"/>
        <v>43.757999999999996</v>
      </c>
      <c r="I112" s="264">
        <f t="shared" si="17"/>
        <v>0</v>
      </c>
      <c r="J112" s="264">
        <f t="shared" si="18"/>
        <v>1063.242</v>
      </c>
      <c r="K112" s="208">
        <f t="shared" si="19"/>
        <v>6.1797301136999989</v>
      </c>
      <c r="L112" s="208">
        <f t="shared" si="20"/>
        <v>0</v>
      </c>
      <c r="M112" s="150"/>
      <c r="N112" s="145"/>
      <c r="O112" s="145"/>
      <c r="P112" s="145"/>
      <c r="Q112" s="145"/>
      <c r="R112" s="145"/>
      <c r="S112" s="145"/>
      <c r="T112" s="145"/>
      <c r="U112" s="145"/>
      <c r="V112" s="145"/>
      <c r="W112" s="145"/>
      <c r="X112" s="145"/>
      <c r="Y112" s="145"/>
      <c r="Z112" s="145"/>
    </row>
    <row r="113" spans="1:26" ht="15.75" x14ac:dyDescent="0.25">
      <c r="A113" s="260" t="s">
        <v>73</v>
      </c>
      <c r="B113" s="192">
        <v>31</v>
      </c>
      <c r="C113" s="261">
        <f>0.09*F16</f>
        <v>1107</v>
      </c>
      <c r="D113" s="262">
        <v>0.2</v>
      </c>
      <c r="E113" s="151">
        <f t="shared" si="21"/>
        <v>141.22514999999999</v>
      </c>
      <c r="F113" s="151">
        <f t="shared" si="22"/>
        <v>20</v>
      </c>
      <c r="G113" s="263">
        <f t="shared" si="15"/>
        <v>18.086639999999999</v>
      </c>
      <c r="H113" s="264">
        <f t="shared" si="16"/>
        <v>18.086639999999999</v>
      </c>
      <c r="I113" s="264">
        <f t="shared" si="17"/>
        <v>0</v>
      </c>
      <c r="J113" s="264">
        <f t="shared" si="18"/>
        <v>1088.91336</v>
      </c>
      <c r="K113" s="208">
        <f t="shared" si="19"/>
        <v>2.5542884469959994</v>
      </c>
      <c r="L113" s="208">
        <f t="shared" si="20"/>
        <v>0</v>
      </c>
      <c r="M113" s="150"/>
      <c r="N113" s="145"/>
      <c r="O113" s="145"/>
      <c r="P113" s="145"/>
      <c r="Q113" s="145"/>
      <c r="R113" s="145"/>
      <c r="S113" s="145"/>
      <c r="T113" s="145"/>
      <c r="U113" s="145"/>
      <c r="V113" s="145"/>
      <c r="W113" s="145"/>
      <c r="X113" s="145"/>
      <c r="Y113" s="145"/>
      <c r="Z113" s="145"/>
    </row>
    <row r="114" spans="1:26" ht="15.75" x14ac:dyDescent="0.25">
      <c r="A114" s="265" t="s">
        <v>220</v>
      </c>
      <c r="B114" s="264">
        <f t="shared" ref="B114:C114" si="23">SUM(B102:B113)</f>
        <v>365</v>
      </c>
      <c r="C114" s="257">
        <f t="shared" si="23"/>
        <v>12300</v>
      </c>
      <c r="D114" s="192"/>
      <c r="E114" s="145"/>
      <c r="F114" s="145"/>
      <c r="G114" s="266">
        <f t="shared" ref="G114:L114" si="24">SUM(G102:G113)</f>
        <v>2935.1116079999997</v>
      </c>
      <c r="H114" s="267">
        <f t="shared" si="24"/>
        <v>2524.2069959999999</v>
      </c>
      <c r="I114" s="268">
        <f t="shared" si="24"/>
        <v>410.90461199999964</v>
      </c>
      <c r="J114" s="268">
        <f t="shared" si="24"/>
        <v>9775.793004000001</v>
      </c>
      <c r="K114" s="269">
        <f t="shared" si="24"/>
        <v>414.5115771065411</v>
      </c>
      <c r="L114" s="269">
        <f t="shared" si="24"/>
        <v>8.2180922399999936</v>
      </c>
      <c r="M114" s="150"/>
      <c r="N114" s="145"/>
      <c r="O114" s="145"/>
      <c r="P114" s="145"/>
      <c r="Q114" s="145"/>
      <c r="R114" s="145"/>
      <c r="S114" s="145"/>
      <c r="T114" s="145"/>
      <c r="U114" s="145"/>
      <c r="V114" s="145"/>
      <c r="W114" s="145"/>
      <c r="X114" s="145"/>
      <c r="Y114" s="145"/>
      <c r="Z114" s="145"/>
    </row>
    <row r="115" spans="1:26" ht="15.75" x14ac:dyDescent="0.25">
      <c r="A115" s="270"/>
      <c r="B115" s="271"/>
      <c r="C115" s="145" t="s">
        <v>4</v>
      </c>
      <c r="D115" s="145"/>
      <c r="E115" s="272"/>
      <c r="F115" s="272"/>
      <c r="G115" s="272"/>
      <c r="H115" s="145"/>
      <c r="I115" s="145"/>
      <c r="J115" s="237"/>
      <c r="K115" s="273"/>
      <c r="L115" s="273"/>
      <c r="M115" s="274"/>
      <c r="N115" s="145"/>
      <c r="O115" s="145"/>
      <c r="P115" s="145"/>
      <c r="Q115" s="145"/>
      <c r="R115" s="145"/>
      <c r="S115" s="145"/>
      <c r="T115" s="145"/>
      <c r="U115" s="145"/>
      <c r="V115" s="145"/>
      <c r="W115" s="145"/>
      <c r="X115" s="145"/>
      <c r="Y115" s="145"/>
      <c r="Z115" s="145"/>
    </row>
    <row r="116" spans="1:26" ht="15.75" x14ac:dyDescent="0.25">
      <c r="A116" s="394" t="s">
        <v>221</v>
      </c>
      <c r="B116" s="395"/>
      <c r="C116" s="396"/>
      <c r="D116" s="275">
        <f>G114</f>
        <v>2935.1116079999997</v>
      </c>
      <c r="E116" s="145" t="s">
        <v>10</v>
      </c>
      <c r="F116" s="145"/>
      <c r="G116" s="145"/>
      <c r="H116" s="145"/>
      <c r="I116" s="145"/>
      <c r="J116" s="145"/>
      <c r="K116" s="145"/>
      <c r="L116" s="145"/>
      <c r="M116" s="145"/>
      <c r="N116" s="145"/>
      <c r="O116" s="145"/>
      <c r="P116" s="145"/>
      <c r="Q116" s="145"/>
      <c r="R116" s="145"/>
      <c r="S116" s="145"/>
      <c r="T116" s="145"/>
      <c r="U116" s="145"/>
      <c r="V116" s="145"/>
      <c r="W116" s="145"/>
      <c r="X116" s="145"/>
      <c r="Y116" s="145"/>
      <c r="Z116" s="145"/>
    </row>
    <row r="117" spans="1:26" ht="15.75" x14ac:dyDescent="0.25">
      <c r="A117" s="394" t="s">
        <v>222</v>
      </c>
      <c r="B117" s="395"/>
      <c r="C117" s="396"/>
      <c r="D117" s="276">
        <f>I114/G114</f>
        <v>0.13999624780196762</v>
      </c>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row>
    <row r="118" spans="1:26" ht="15.75" x14ac:dyDescent="0.25">
      <c r="A118" s="145"/>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row>
    <row r="119" spans="1:26" ht="15.75" x14ac:dyDescent="0.25">
      <c r="A119" s="145"/>
      <c r="B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row>
    <row r="120" spans="1:26" ht="15.75" x14ac:dyDescent="0.25">
      <c r="A120" s="145"/>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row>
    <row r="121" spans="1:26" ht="15.75" x14ac:dyDescent="0.25">
      <c r="A121" s="157" t="s">
        <v>223</v>
      </c>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row>
    <row r="122" spans="1:26" ht="15.75" x14ac:dyDescent="0.25">
      <c r="A122" s="157" t="s">
        <v>224</v>
      </c>
      <c r="B122" s="145"/>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row>
    <row r="123" spans="1:26" ht="15.75" x14ac:dyDescent="0.25">
      <c r="A123" s="145"/>
      <c r="B123" s="145"/>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row>
    <row r="124" spans="1:26" ht="15.75" x14ac:dyDescent="0.25">
      <c r="A124" s="145"/>
      <c r="B124" s="145"/>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row>
    <row r="125" spans="1:26" ht="15.75" x14ac:dyDescent="0.25">
      <c r="A125" s="145"/>
      <c r="B125" s="145"/>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row>
    <row r="126" spans="1:26" ht="15.75" x14ac:dyDescent="0.25">
      <c r="A126" s="145"/>
      <c r="B126" s="145"/>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row>
    <row r="127" spans="1:26" ht="15.75" x14ac:dyDescent="0.25">
      <c r="A127" s="145"/>
      <c r="B127" s="145"/>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row>
    <row r="128" spans="1:26" ht="15.75" x14ac:dyDescent="0.25">
      <c r="A128" s="145"/>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row>
    <row r="129" spans="1:26" ht="15.75" x14ac:dyDescent="0.25">
      <c r="A129" s="145"/>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row>
    <row r="130" spans="1:26" ht="15.75" x14ac:dyDescent="0.25">
      <c r="A130" s="145"/>
      <c r="B130" s="145"/>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row>
    <row r="131" spans="1:26" ht="15.75" x14ac:dyDescent="0.25">
      <c r="A131" s="145"/>
      <c r="B131" s="145"/>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row>
    <row r="132" spans="1:26" ht="15.75" x14ac:dyDescent="0.25">
      <c r="A132" s="145"/>
      <c r="B132" s="145"/>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row>
    <row r="133" spans="1:26" ht="15.75" x14ac:dyDescent="0.25">
      <c r="A133" s="145"/>
      <c r="B133" s="145"/>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row>
    <row r="134" spans="1:26" ht="15.75" x14ac:dyDescent="0.25">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row>
    <row r="135" spans="1:26" ht="15.75" x14ac:dyDescent="0.25">
      <c r="A135" s="145"/>
      <c r="B135" s="145"/>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row>
    <row r="136" spans="1:26" ht="15.75" x14ac:dyDescent="0.25">
      <c r="A136" s="145"/>
      <c r="B136" s="145"/>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row>
    <row r="137" spans="1:26" ht="15.75" x14ac:dyDescent="0.25">
      <c r="A137" s="145"/>
      <c r="B137" s="145"/>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row>
    <row r="138" spans="1:26" ht="15.75" x14ac:dyDescent="0.25">
      <c r="A138" s="145"/>
      <c r="B138" s="145"/>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row>
    <row r="139" spans="1:26" ht="15.75" x14ac:dyDescent="0.25">
      <c r="A139" s="145"/>
      <c r="B139" s="145"/>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row>
    <row r="140" spans="1:26" ht="15.75" x14ac:dyDescent="0.25">
      <c r="A140" s="14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row>
    <row r="141" spans="1:26" ht="15.75" x14ac:dyDescent="0.25">
      <c r="A141" s="145"/>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row>
    <row r="142" spans="1:26" ht="15.75" x14ac:dyDescent="0.25">
      <c r="A142" s="14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row>
    <row r="143" spans="1:26" ht="15.75" x14ac:dyDescent="0.25">
      <c r="A143" s="145"/>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row>
    <row r="144" spans="1:26" ht="15.75" x14ac:dyDescent="0.25">
      <c r="A144" s="145"/>
      <c r="B144" s="145"/>
      <c r="C144" s="145"/>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row>
    <row r="145" spans="1:26" ht="15.75" x14ac:dyDescent="0.25">
      <c r="A145" s="145"/>
      <c r="B145" s="145"/>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row>
    <row r="146" spans="1:26" ht="15.75" x14ac:dyDescent="0.25">
      <c r="A146" s="145"/>
      <c r="B146" s="145"/>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row>
    <row r="147" spans="1:26" ht="15.75" x14ac:dyDescent="0.25">
      <c r="A147" s="145"/>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row>
    <row r="148" spans="1:26" ht="15.75" x14ac:dyDescent="0.25">
      <c r="A148" s="145"/>
      <c r="B148" s="145"/>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row>
    <row r="149" spans="1:26" ht="15.75" x14ac:dyDescent="0.25">
      <c r="A149" s="145"/>
      <c r="B149" s="145"/>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row>
    <row r="150" spans="1:26" ht="15.75" x14ac:dyDescent="0.25">
      <c r="A150" s="145"/>
      <c r="B150" s="145"/>
      <c r="C150" s="145"/>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row>
    <row r="151" spans="1:26" ht="15.75" x14ac:dyDescent="0.25">
      <c r="A151" s="145"/>
      <c r="B151" s="145"/>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row>
    <row r="152" spans="1:26" ht="15.75" x14ac:dyDescent="0.25">
      <c r="A152" s="145"/>
      <c r="B152" s="145"/>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row>
    <row r="153" spans="1:26" ht="15.75" x14ac:dyDescent="0.25">
      <c r="A153" s="145"/>
      <c r="B153" s="145"/>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row>
    <row r="154" spans="1:26" ht="15.75" x14ac:dyDescent="0.25">
      <c r="A154" s="145"/>
      <c r="B154" s="145"/>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row>
    <row r="155" spans="1:26" ht="15.75" x14ac:dyDescent="0.25">
      <c r="A155" s="145"/>
      <c r="B155" s="145"/>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row>
    <row r="156" spans="1:26" ht="15.75" x14ac:dyDescent="0.25">
      <c r="A156" s="145"/>
      <c r="B156" s="145"/>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row>
    <row r="157" spans="1:26" ht="15.75" x14ac:dyDescent="0.25">
      <c r="A157" s="145"/>
      <c r="B157" s="145"/>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row>
    <row r="158" spans="1:26" ht="15.75" x14ac:dyDescent="0.25">
      <c r="A158" s="145"/>
      <c r="B158" s="145"/>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row>
    <row r="159" spans="1:26" ht="15.75" x14ac:dyDescent="0.25">
      <c r="A159" s="145"/>
      <c r="B159" s="145"/>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row>
    <row r="160" spans="1:26" ht="15.75" x14ac:dyDescent="0.25">
      <c r="A160" s="145"/>
      <c r="B160" s="145"/>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row>
    <row r="161" spans="1:26" ht="15.75" x14ac:dyDescent="0.25">
      <c r="A161" s="145"/>
      <c r="B161" s="145"/>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row>
    <row r="162" spans="1:26" ht="15.75" x14ac:dyDescent="0.25">
      <c r="A162" s="145"/>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row>
    <row r="163" spans="1:26" ht="15.75" x14ac:dyDescent="0.25">
      <c r="A163" s="145"/>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row>
    <row r="164" spans="1:26" ht="15.75" x14ac:dyDescent="0.25">
      <c r="A164" s="145"/>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row>
    <row r="165" spans="1:26" ht="15.75" x14ac:dyDescent="0.25">
      <c r="A165" s="145"/>
      <c r="B165" s="145"/>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row>
    <row r="166" spans="1:26" ht="15.75" x14ac:dyDescent="0.25">
      <c r="A166" s="145"/>
      <c r="B166" s="145"/>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row>
    <row r="167" spans="1:26" ht="15.75" x14ac:dyDescent="0.25">
      <c r="A167" s="145"/>
      <c r="B167" s="145"/>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row>
    <row r="168" spans="1:26" ht="15.75" x14ac:dyDescent="0.25">
      <c r="A168" s="145"/>
      <c r="B168" s="145"/>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row>
    <row r="169" spans="1:26" ht="15.75" x14ac:dyDescent="0.25">
      <c r="A169" s="145"/>
      <c r="B169" s="145"/>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row>
    <row r="170" spans="1:26" ht="15.75" x14ac:dyDescent="0.25">
      <c r="A170" s="145"/>
      <c r="B170" s="145"/>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row>
    <row r="171" spans="1:26" ht="15.75" x14ac:dyDescent="0.25">
      <c r="A171" s="145"/>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row>
    <row r="172" spans="1:26" ht="15.75" x14ac:dyDescent="0.25">
      <c r="A172" s="145"/>
      <c r="B172" s="145"/>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row>
    <row r="173" spans="1:26" ht="15.75" x14ac:dyDescent="0.25">
      <c r="A173" s="145"/>
      <c r="B173" s="145"/>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row>
    <row r="174" spans="1:26" ht="15.75" x14ac:dyDescent="0.25">
      <c r="A174" s="145"/>
      <c r="B174" s="1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row>
    <row r="175" spans="1:26" ht="15.75" x14ac:dyDescent="0.25">
      <c r="A175" s="145"/>
      <c r="B175" s="145"/>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row>
    <row r="176" spans="1:26" ht="15.75" x14ac:dyDescent="0.25">
      <c r="A176" s="145"/>
      <c r="B176" s="145"/>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row>
    <row r="177" spans="1:26" ht="15.75" x14ac:dyDescent="0.25">
      <c r="A177" s="145"/>
      <c r="B177" s="145"/>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row>
    <row r="178" spans="1:26" ht="15.75" x14ac:dyDescent="0.25">
      <c r="A178" s="145"/>
      <c r="B178" s="145"/>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row>
    <row r="179" spans="1:26" ht="15.75" x14ac:dyDescent="0.25">
      <c r="A179" s="145"/>
      <c r="B179" s="145"/>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row>
    <row r="180" spans="1:26" ht="15.75" x14ac:dyDescent="0.25">
      <c r="A180" s="145"/>
      <c r="B180" s="145"/>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row>
    <row r="181" spans="1:26" ht="15.75" x14ac:dyDescent="0.25">
      <c r="A181" s="145"/>
      <c r="B181" s="145"/>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row>
    <row r="182" spans="1:26" ht="15.75" x14ac:dyDescent="0.25">
      <c r="A182" s="145"/>
      <c r="B182" s="145"/>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row>
    <row r="183" spans="1:26" ht="15.75" x14ac:dyDescent="0.25">
      <c r="A183" s="145"/>
      <c r="B183" s="145"/>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row>
    <row r="184" spans="1:26" ht="15.75" x14ac:dyDescent="0.25">
      <c r="A184" s="145"/>
      <c r="B184" s="145"/>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row>
    <row r="185" spans="1:26" ht="15.75" x14ac:dyDescent="0.25">
      <c r="A185" s="145"/>
      <c r="B185" s="145"/>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row>
    <row r="186" spans="1:26" ht="15.75" x14ac:dyDescent="0.25">
      <c r="A186" s="145"/>
      <c r="B186" s="145"/>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row>
    <row r="187" spans="1:26" ht="15.75" x14ac:dyDescent="0.25">
      <c r="A187" s="145"/>
      <c r="B187" s="145"/>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row>
    <row r="188" spans="1:26" ht="15.75" x14ac:dyDescent="0.25">
      <c r="A188" s="145"/>
      <c r="B188" s="145"/>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row>
    <row r="189" spans="1:26" ht="15.75" x14ac:dyDescent="0.25">
      <c r="A189" s="145"/>
      <c r="B189" s="145"/>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row>
    <row r="190" spans="1:26" ht="15.75" x14ac:dyDescent="0.25">
      <c r="A190" s="145"/>
      <c r="B190" s="145"/>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row>
    <row r="191" spans="1:26" ht="15.75" x14ac:dyDescent="0.25">
      <c r="A191" s="145"/>
      <c r="B191" s="145"/>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row>
    <row r="192" spans="1:26" ht="15.75" x14ac:dyDescent="0.25">
      <c r="A192" s="145"/>
      <c r="B192" s="145"/>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row>
    <row r="193" spans="1:26" ht="15.75" x14ac:dyDescent="0.25">
      <c r="A193" s="145"/>
      <c r="B193" s="145"/>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row>
    <row r="194" spans="1:26" ht="15.75" x14ac:dyDescent="0.25">
      <c r="A194" s="145"/>
      <c r="B194" s="145"/>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row>
    <row r="195" spans="1:26" ht="15.75" x14ac:dyDescent="0.25">
      <c r="A195" s="145"/>
      <c r="B195" s="145"/>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row>
    <row r="196" spans="1:26" ht="15.75" x14ac:dyDescent="0.25">
      <c r="A196" s="145"/>
      <c r="B196" s="145"/>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row>
    <row r="197" spans="1:26" ht="15.75" x14ac:dyDescent="0.25">
      <c r="A197" s="145"/>
      <c r="B197" s="145"/>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5"/>
    </row>
    <row r="198" spans="1:26" ht="15.75" x14ac:dyDescent="0.25">
      <c r="A198" s="145"/>
      <c r="B198" s="145"/>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row>
    <row r="199" spans="1:26" ht="15.75" x14ac:dyDescent="0.25">
      <c r="A199" s="145"/>
      <c r="B199" s="145"/>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5"/>
    </row>
    <row r="200" spans="1:26" ht="15.75" x14ac:dyDescent="0.25">
      <c r="A200" s="145"/>
      <c r="B200" s="145"/>
      <c r="C200" s="145"/>
      <c r="D200" s="145"/>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5"/>
    </row>
    <row r="201" spans="1:26" ht="15.75" x14ac:dyDescent="0.25">
      <c r="A201" s="145"/>
      <c r="B201" s="145"/>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row>
    <row r="202" spans="1:26" ht="15.75" x14ac:dyDescent="0.25">
      <c r="A202" s="145"/>
      <c r="B202" s="145"/>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row>
    <row r="203" spans="1:26" ht="15.75" x14ac:dyDescent="0.25">
      <c r="A203" s="145"/>
      <c r="B203" s="145"/>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row>
    <row r="204" spans="1:26" ht="15.75" x14ac:dyDescent="0.25">
      <c r="A204" s="145"/>
      <c r="B204" s="145"/>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row>
    <row r="205" spans="1:26" ht="15.75" x14ac:dyDescent="0.25">
      <c r="A205" s="145"/>
      <c r="B205" s="145"/>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row>
    <row r="206" spans="1:26" ht="15.75" x14ac:dyDescent="0.25">
      <c r="A206" s="145"/>
      <c r="B206" s="145"/>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row>
    <row r="207" spans="1:26" ht="15.75" x14ac:dyDescent="0.25">
      <c r="A207" s="145"/>
      <c r="B207" s="145"/>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row>
    <row r="208" spans="1:26" ht="15.75" x14ac:dyDescent="0.25">
      <c r="A208" s="145"/>
      <c r="B208" s="145"/>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row>
    <row r="209" spans="1:26" ht="15.75" x14ac:dyDescent="0.25">
      <c r="A209" s="145"/>
      <c r="B209" s="145"/>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row>
    <row r="210" spans="1:26" ht="15.75" x14ac:dyDescent="0.25">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row>
    <row r="211" spans="1:26" ht="15.75" x14ac:dyDescent="0.25">
      <c r="A211" s="145"/>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row>
    <row r="212" spans="1:26" ht="15.75" x14ac:dyDescent="0.25">
      <c r="A212" s="145"/>
      <c r="B212" s="145"/>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row>
    <row r="213" spans="1:26" ht="15.75" x14ac:dyDescent="0.25">
      <c r="A213" s="145"/>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row>
    <row r="214" spans="1:26" ht="15.75" x14ac:dyDescent="0.25">
      <c r="A214" s="145"/>
      <c r="B214" s="145"/>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row>
    <row r="215" spans="1:26" ht="15.75" x14ac:dyDescent="0.25">
      <c r="A215" s="145"/>
      <c r="B215" s="145"/>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row>
    <row r="216" spans="1:26" ht="15.75" x14ac:dyDescent="0.25">
      <c r="A216" s="145"/>
      <c r="B216" s="145"/>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row>
    <row r="217" spans="1:26" ht="15.75" x14ac:dyDescent="0.25">
      <c r="A217" s="145"/>
      <c r="B217" s="145"/>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row>
    <row r="218" spans="1:26" ht="15.75" x14ac:dyDescent="0.25">
      <c r="A218" s="145"/>
      <c r="B218" s="145"/>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row>
    <row r="219" spans="1:26" ht="15.75" x14ac:dyDescent="0.25">
      <c r="A219" s="145"/>
      <c r="B219" s="145"/>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row>
    <row r="220" spans="1:26" ht="15.75" x14ac:dyDescent="0.25">
      <c r="A220" s="145"/>
      <c r="B220" s="145"/>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row>
    <row r="221" spans="1:26" ht="15.75" x14ac:dyDescent="0.25">
      <c r="A221" s="145"/>
      <c r="B221" s="145"/>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row>
    <row r="222" spans="1:26" ht="15.75" x14ac:dyDescent="0.25">
      <c r="A222" s="145"/>
      <c r="B222" s="145"/>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row>
    <row r="223" spans="1:26" ht="15.75" x14ac:dyDescent="0.25">
      <c r="A223" s="145"/>
      <c r="B223" s="145"/>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row>
    <row r="224" spans="1:26" ht="15.75" x14ac:dyDescent="0.25">
      <c r="A224" s="145"/>
      <c r="B224" s="145"/>
      <c r="C224" s="145"/>
      <c r="D224" s="145"/>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row>
    <row r="225" spans="1:26" ht="15.75" x14ac:dyDescent="0.25">
      <c r="A225" s="145"/>
      <c r="B225" s="145"/>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row>
    <row r="226" spans="1:26" ht="15.75" x14ac:dyDescent="0.25">
      <c r="A226" s="145"/>
      <c r="B226" s="145"/>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row>
    <row r="227" spans="1:26" ht="15.75" x14ac:dyDescent="0.25">
      <c r="A227" s="145"/>
      <c r="B227" s="145"/>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row>
    <row r="228" spans="1:26" ht="15.75" x14ac:dyDescent="0.25">
      <c r="A228" s="145"/>
      <c r="B228" s="145"/>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row>
    <row r="229" spans="1:26" ht="15.75" x14ac:dyDescent="0.25">
      <c r="A229" s="145"/>
      <c r="B229" s="145"/>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row>
    <row r="230" spans="1:26" ht="15.75" x14ac:dyDescent="0.25">
      <c r="A230" s="145"/>
      <c r="B230" s="145"/>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row>
    <row r="231" spans="1:26" ht="15.75" x14ac:dyDescent="0.25">
      <c r="A231" s="145"/>
      <c r="B231" s="145"/>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row>
    <row r="232" spans="1:26" ht="15.75" x14ac:dyDescent="0.25">
      <c r="A232" s="145"/>
      <c r="B232" s="145"/>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row>
    <row r="233" spans="1:26" ht="15.75" x14ac:dyDescent="0.25">
      <c r="A233" s="145"/>
      <c r="B233" s="145"/>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row>
    <row r="234" spans="1:26" ht="15.75" x14ac:dyDescent="0.25">
      <c r="A234" s="145"/>
      <c r="B234" s="145"/>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row>
    <row r="235" spans="1:26" ht="15.75" x14ac:dyDescent="0.25">
      <c r="A235" s="145"/>
      <c r="B235" s="145"/>
      <c r="C235" s="145"/>
      <c r="D235" s="145"/>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row>
    <row r="236" spans="1:26" ht="15.75" x14ac:dyDescent="0.25">
      <c r="A236" s="145"/>
      <c r="B236" s="145"/>
      <c r="C236" s="145"/>
      <c r="D236" s="145"/>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row>
    <row r="237" spans="1:26" ht="15.75" x14ac:dyDescent="0.25">
      <c r="A237" s="145"/>
      <c r="B237" s="145"/>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row>
    <row r="238" spans="1:26" ht="15.75" x14ac:dyDescent="0.25">
      <c r="A238" s="145"/>
      <c r="B238" s="145"/>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row>
    <row r="239" spans="1:26" ht="15.75" x14ac:dyDescent="0.25">
      <c r="A239" s="145"/>
      <c r="B239" s="145"/>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row>
    <row r="240" spans="1:26" ht="15.75" x14ac:dyDescent="0.25">
      <c r="A240" s="145"/>
      <c r="B240" s="145"/>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row>
    <row r="241" spans="1:26" ht="15.75" x14ac:dyDescent="0.25">
      <c r="A241" s="145"/>
      <c r="B241" s="145"/>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row>
    <row r="242" spans="1:26" ht="15.75" x14ac:dyDescent="0.25">
      <c r="A242" s="145"/>
      <c r="B242" s="145"/>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row>
    <row r="243" spans="1:26" ht="15.75" x14ac:dyDescent="0.25">
      <c r="A243" s="145"/>
      <c r="B243" s="145"/>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row>
    <row r="244" spans="1:26" ht="15.75" x14ac:dyDescent="0.25">
      <c r="A244" s="145"/>
      <c r="B244" s="145"/>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row>
    <row r="245" spans="1:26" ht="15.75" x14ac:dyDescent="0.25">
      <c r="A245" s="145"/>
      <c r="B245" s="145"/>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row>
    <row r="246" spans="1:26" ht="15.75" x14ac:dyDescent="0.25">
      <c r="A246" s="145"/>
      <c r="B246" s="145"/>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row>
    <row r="247" spans="1:26" ht="15.75" x14ac:dyDescent="0.25">
      <c r="A247" s="145"/>
      <c r="B247" s="145"/>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row>
    <row r="248" spans="1:26" ht="15.75" x14ac:dyDescent="0.25">
      <c r="A248" s="145"/>
      <c r="B248" s="145"/>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row>
    <row r="249" spans="1:26" ht="15.75" x14ac:dyDescent="0.25">
      <c r="A249" s="145"/>
      <c r="B249" s="145"/>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row>
    <row r="250" spans="1:26" ht="15.75" x14ac:dyDescent="0.25">
      <c r="A250" s="145"/>
      <c r="B250" s="145"/>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row>
    <row r="251" spans="1:26" ht="15.75" x14ac:dyDescent="0.25">
      <c r="A251" s="145"/>
      <c r="B251" s="145"/>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row>
    <row r="252" spans="1:26" ht="15.75" x14ac:dyDescent="0.25">
      <c r="A252" s="145"/>
      <c r="B252" s="145"/>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row>
    <row r="253" spans="1:26" ht="15.75" x14ac:dyDescent="0.25">
      <c r="A253" s="145"/>
      <c r="B253" s="145"/>
      <c r="C253" s="145"/>
      <c r="D253" s="145"/>
      <c r="E253" s="145"/>
      <c r="F253" s="145"/>
      <c r="G253" s="145"/>
      <c r="H253" s="145"/>
      <c r="I253" s="145"/>
      <c r="J253" s="145"/>
      <c r="K253" s="145"/>
      <c r="L253" s="145"/>
      <c r="M253" s="145"/>
      <c r="N253" s="145"/>
      <c r="O253" s="145"/>
      <c r="P253" s="145"/>
      <c r="Q253" s="145"/>
      <c r="R253" s="145"/>
      <c r="S253" s="145"/>
      <c r="T253" s="145"/>
      <c r="U253" s="145"/>
      <c r="V253" s="145"/>
      <c r="W253" s="145"/>
      <c r="X253" s="145"/>
      <c r="Y253" s="145"/>
      <c r="Z253" s="145"/>
    </row>
    <row r="254" spans="1:26" ht="15.75" x14ac:dyDescent="0.25">
      <c r="A254" s="145"/>
      <c r="B254" s="145"/>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row>
    <row r="255" spans="1:26" ht="15.75" x14ac:dyDescent="0.25">
      <c r="A255" s="145"/>
      <c r="B255" s="145"/>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row>
    <row r="256" spans="1:26" ht="15.75" x14ac:dyDescent="0.25">
      <c r="A256" s="145"/>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row>
    <row r="257" spans="1:26" ht="15.75" x14ac:dyDescent="0.25">
      <c r="A257" s="145"/>
      <c r="B257" s="145"/>
      <c r="C257" s="145"/>
      <c r="D257" s="145"/>
      <c r="E257" s="145"/>
      <c r="F257" s="145"/>
      <c r="G257" s="145"/>
      <c r="H257" s="145"/>
      <c r="I257" s="145"/>
      <c r="J257" s="145"/>
      <c r="K257" s="145"/>
      <c r="L257" s="145"/>
      <c r="M257" s="145"/>
      <c r="N257" s="145"/>
      <c r="O257" s="145"/>
      <c r="P257" s="145"/>
      <c r="Q257" s="145"/>
      <c r="R257" s="145"/>
      <c r="S257" s="145"/>
      <c r="T257" s="145"/>
      <c r="U257" s="145"/>
      <c r="V257" s="145"/>
      <c r="W257" s="145"/>
      <c r="X257" s="145"/>
      <c r="Y257" s="145"/>
      <c r="Z257" s="145"/>
    </row>
    <row r="258" spans="1:26" ht="15.75" x14ac:dyDescent="0.25">
      <c r="A258" s="145"/>
      <c r="B258" s="145"/>
      <c r="C258" s="145"/>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row>
    <row r="259" spans="1:26" ht="15.75" x14ac:dyDescent="0.25">
      <c r="A259" s="145"/>
      <c r="B259" s="145"/>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5"/>
      <c r="Z259" s="145"/>
    </row>
    <row r="260" spans="1:26" ht="15.75" x14ac:dyDescent="0.25">
      <c r="A260" s="145"/>
      <c r="B260" s="145"/>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row>
    <row r="261" spans="1:26" ht="15.75" x14ac:dyDescent="0.25">
      <c r="A261" s="145"/>
      <c r="B261" s="145"/>
      <c r="C261" s="145"/>
      <c r="D261" s="145"/>
      <c r="E261" s="145"/>
      <c r="F261" s="145"/>
      <c r="G261" s="145"/>
      <c r="H261" s="145"/>
      <c r="I261" s="145"/>
      <c r="J261" s="145"/>
      <c r="K261" s="145"/>
      <c r="L261" s="145"/>
      <c r="M261" s="145"/>
      <c r="N261" s="145"/>
      <c r="O261" s="145"/>
      <c r="P261" s="145"/>
      <c r="Q261" s="145"/>
      <c r="R261" s="145"/>
      <c r="S261" s="145"/>
      <c r="T261" s="145"/>
      <c r="U261" s="145"/>
      <c r="V261" s="145"/>
      <c r="W261" s="145"/>
      <c r="X261" s="145"/>
      <c r="Y261" s="145"/>
      <c r="Z261" s="145"/>
    </row>
    <row r="262" spans="1:26" ht="15.75" x14ac:dyDescent="0.25">
      <c r="A262" s="145"/>
      <c r="B262" s="145"/>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row>
    <row r="263" spans="1:26" ht="15.75" x14ac:dyDescent="0.25">
      <c r="A263" s="145"/>
      <c r="B263" s="145"/>
      <c r="C263" s="145"/>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5"/>
      <c r="Z263" s="145"/>
    </row>
    <row r="264" spans="1:26" ht="15.75" x14ac:dyDescent="0.25">
      <c r="A264" s="145"/>
      <c r="B264" s="145"/>
      <c r="C264" s="145"/>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row>
    <row r="265" spans="1:26" ht="15.75" x14ac:dyDescent="0.25">
      <c r="A265" s="145"/>
      <c r="B265" s="145"/>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row>
    <row r="266" spans="1:26" ht="15.75" x14ac:dyDescent="0.25">
      <c r="A266" s="145"/>
      <c r="B266" s="145"/>
      <c r="C266" s="145"/>
      <c r="D266" s="145"/>
      <c r="E266" s="145"/>
      <c r="F266" s="145"/>
      <c r="G266" s="145"/>
      <c r="H266" s="145"/>
      <c r="I266" s="145"/>
      <c r="J266" s="145"/>
      <c r="K266" s="145"/>
      <c r="L266" s="145"/>
      <c r="M266" s="145"/>
      <c r="N266" s="145"/>
      <c r="O266" s="145"/>
      <c r="P266" s="145"/>
      <c r="Q266" s="145"/>
      <c r="R266" s="145"/>
      <c r="S266" s="145"/>
      <c r="T266" s="145"/>
      <c r="U266" s="145"/>
      <c r="V266" s="145"/>
      <c r="W266" s="145"/>
      <c r="X266" s="145"/>
      <c r="Y266" s="145"/>
      <c r="Z266" s="145"/>
    </row>
    <row r="267" spans="1:26" ht="15.75" x14ac:dyDescent="0.25">
      <c r="A267" s="145"/>
      <c r="B267" s="145"/>
      <c r="C267" s="145"/>
      <c r="D267" s="145"/>
      <c r="E267" s="145"/>
      <c r="F267" s="145"/>
      <c r="G267" s="145"/>
      <c r="H267" s="145"/>
      <c r="I267" s="145"/>
      <c r="J267" s="145"/>
      <c r="K267" s="145"/>
      <c r="L267" s="145"/>
      <c r="M267" s="145"/>
      <c r="N267" s="145"/>
      <c r="O267" s="145"/>
      <c r="P267" s="145"/>
      <c r="Q267" s="145"/>
      <c r="R267" s="145"/>
      <c r="S267" s="145"/>
      <c r="T267" s="145"/>
      <c r="U267" s="145"/>
      <c r="V267" s="145"/>
      <c r="W267" s="145"/>
      <c r="X267" s="145"/>
      <c r="Y267" s="145"/>
      <c r="Z267" s="145"/>
    </row>
    <row r="268" spans="1:26" ht="15.75" x14ac:dyDescent="0.25">
      <c r="A268" s="145"/>
      <c r="B268" s="145"/>
      <c r="C268" s="145"/>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row>
    <row r="269" spans="1:26" ht="15.75" x14ac:dyDescent="0.25">
      <c r="A269" s="145"/>
      <c r="B269" s="145"/>
      <c r="C269" s="145"/>
      <c r="D269" s="145"/>
      <c r="E269" s="145"/>
      <c r="F269" s="145"/>
      <c r="G269" s="145"/>
      <c r="H269" s="145"/>
      <c r="I269" s="145"/>
      <c r="J269" s="145"/>
      <c r="K269" s="145"/>
      <c r="L269" s="145"/>
      <c r="M269" s="145"/>
      <c r="N269" s="145"/>
      <c r="O269" s="145"/>
      <c r="P269" s="145"/>
      <c r="Q269" s="145"/>
      <c r="R269" s="145"/>
      <c r="S269" s="145"/>
      <c r="T269" s="145"/>
      <c r="U269" s="145"/>
      <c r="V269" s="145"/>
      <c r="W269" s="145"/>
      <c r="X269" s="145"/>
      <c r="Y269" s="145"/>
      <c r="Z269" s="145"/>
    </row>
    <row r="270" spans="1:26" ht="15.75" x14ac:dyDescent="0.25">
      <c r="A270" s="145"/>
      <c r="B270" s="145"/>
      <c r="C270" s="145"/>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row>
    <row r="271" spans="1:26" ht="15.75" x14ac:dyDescent="0.25">
      <c r="A271" s="145"/>
      <c r="B271" s="145"/>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row>
    <row r="272" spans="1:26" ht="15.75" x14ac:dyDescent="0.25">
      <c r="A272" s="145"/>
      <c r="B272" s="145"/>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row>
    <row r="273" spans="1:26" ht="15.75" x14ac:dyDescent="0.25">
      <c r="A273" s="145"/>
      <c r="B273" s="145"/>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row>
    <row r="274" spans="1:26" ht="15.75" x14ac:dyDescent="0.25">
      <c r="A274" s="145"/>
      <c r="B274" s="145"/>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row>
    <row r="275" spans="1:26" ht="15.75" x14ac:dyDescent="0.25">
      <c r="A275" s="145"/>
      <c r="B275" s="145"/>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row>
    <row r="276" spans="1:26" ht="15.75" x14ac:dyDescent="0.25">
      <c r="A276" s="145"/>
      <c r="B276" s="145"/>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row>
    <row r="277" spans="1:26" ht="15.75" x14ac:dyDescent="0.25">
      <c r="A277" s="145"/>
      <c r="B277" s="145"/>
      <c r="C277" s="145"/>
      <c r="D277" s="145"/>
      <c r="E277" s="145"/>
      <c r="F277" s="145"/>
      <c r="G277" s="145"/>
      <c r="H277" s="145"/>
      <c r="I277" s="145"/>
      <c r="J277" s="145"/>
      <c r="K277" s="145"/>
      <c r="L277" s="145"/>
      <c r="M277" s="145"/>
      <c r="N277" s="145"/>
      <c r="O277" s="145"/>
      <c r="P277" s="145"/>
      <c r="Q277" s="145"/>
      <c r="R277" s="145"/>
      <c r="S277" s="145"/>
      <c r="T277" s="145"/>
      <c r="U277" s="145"/>
      <c r="V277" s="145"/>
      <c r="W277" s="145"/>
      <c r="X277" s="145"/>
      <c r="Y277" s="145"/>
      <c r="Z277" s="145"/>
    </row>
    <row r="278" spans="1:26" ht="15.75" x14ac:dyDescent="0.25">
      <c r="A278" s="145"/>
      <c r="B278" s="145"/>
      <c r="C278" s="145"/>
      <c r="D278" s="145"/>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row>
    <row r="279" spans="1:26" ht="15.75" x14ac:dyDescent="0.25">
      <c r="A279" s="145"/>
      <c r="B279" s="145"/>
      <c r="C279" s="145"/>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row>
    <row r="280" spans="1:26" ht="15.75" x14ac:dyDescent="0.25">
      <c r="A280" s="145"/>
      <c r="B280" s="145"/>
      <c r="C280" s="145"/>
      <c r="D280" s="145"/>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row>
    <row r="281" spans="1:26" ht="15.75" x14ac:dyDescent="0.25">
      <c r="A281" s="145"/>
      <c r="B281" s="145"/>
      <c r="C281" s="145"/>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row>
    <row r="282" spans="1:26" ht="15.75" x14ac:dyDescent="0.25">
      <c r="A282" s="145"/>
      <c r="B282" s="145"/>
      <c r="C282" s="145"/>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row>
    <row r="283" spans="1:26" ht="15.75" x14ac:dyDescent="0.25">
      <c r="A283" s="145"/>
      <c r="B283" s="145"/>
      <c r="C283" s="145"/>
      <c r="D283" s="145"/>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row>
    <row r="284" spans="1:26" ht="15.75" x14ac:dyDescent="0.25">
      <c r="A284" s="145"/>
      <c r="B284" s="145"/>
      <c r="C284" s="145"/>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row>
    <row r="285" spans="1:26" ht="15.75" x14ac:dyDescent="0.25">
      <c r="A285" s="145"/>
      <c r="B285" s="145"/>
      <c r="C285" s="145"/>
      <c r="D285" s="145"/>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row>
    <row r="286" spans="1:26" ht="15.75" x14ac:dyDescent="0.25">
      <c r="A286" s="145"/>
      <c r="B286" s="145"/>
      <c r="C286" s="145"/>
      <c r="D286" s="145"/>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row>
    <row r="287" spans="1:26" ht="15.75" x14ac:dyDescent="0.25">
      <c r="A287" s="145"/>
      <c r="B287" s="145"/>
      <c r="C287" s="145"/>
      <c r="D287" s="145"/>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row>
    <row r="288" spans="1:26" ht="15.75" x14ac:dyDescent="0.25">
      <c r="A288" s="145"/>
      <c r="B288" s="145"/>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row>
    <row r="289" spans="1:26" ht="15.75" x14ac:dyDescent="0.25">
      <c r="A289" s="145"/>
      <c r="B289" s="145"/>
      <c r="C289" s="145"/>
      <c r="D289" s="145"/>
      <c r="E289" s="145"/>
      <c r="F289" s="145"/>
      <c r="G289" s="145"/>
      <c r="H289" s="145"/>
      <c r="I289" s="145"/>
      <c r="J289" s="145"/>
      <c r="K289" s="145"/>
      <c r="L289" s="145"/>
      <c r="M289" s="145"/>
      <c r="N289" s="145"/>
      <c r="O289" s="145"/>
      <c r="P289" s="145"/>
      <c r="Q289" s="145"/>
      <c r="R289" s="145"/>
      <c r="S289" s="145"/>
      <c r="T289" s="145"/>
      <c r="U289" s="145"/>
      <c r="V289" s="145"/>
      <c r="W289" s="145"/>
      <c r="X289" s="145"/>
      <c r="Y289" s="145"/>
      <c r="Z289" s="145"/>
    </row>
    <row r="290" spans="1:26" ht="15.75" x14ac:dyDescent="0.25">
      <c r="A290" s="145"/>
      <c r="B290" s="145"/>
      <c r="C290" s="145"/>
      <c r="D290" s="145"/>
      <c r="E290" s="145"/>
      <c r="F290" s="145"/>
      <c r="G290" s="145"/>
      <c r="H290" s="145"/>
      <c r="I290" s="145"/>
      <c r="J290" s="145"/>
      <c r="K290" s="145"/>
      <c r="L290" s="145"/>
      <c r="M290" s="145"/>
      <c r="N290" s="145"/>
      <c r="O290" s="145"/>
      <c r="P290" s="145"/>
      <c r="Q290" s="145"/>
      <c r="R290" s="145"/>
      <c r="S290" s="145"/>
      <c r="T290" s="145"/>
      <c r="U290" s="145"/>
      <c r="V290" s="145"/>
      <c r="W290" s="145"/>
      <c r="X290" s="145"/>
      <c r="Y290" s="145"/>
      <c r="Z290" s="145"/>
    </row>
    <row r="291" spans="1:26" ht="15.75" x14ac:dyDescent="0.25">
      <c r="A291" s="145"/>
      <c r="B291" s="145"/>
      <c r="C291" s="145"/>
      <c r="D291" s="145"/>
      <c r="E291" s="145"/>
      <c r="F291" s="145"/>
      <c r="G291" s="145"/>
      <c r="H291" s="145"/>
      <c r="I291" s="145"/>
      <c r="J291" s="145"/>
      <c r="K291" s="145"/>
      <c r="L291" s="145"/>
      <c r="M291" s="145"/>
      <c r="N291" s="145"/>
      <c r="O291" s="145"/>
      <c r="P291" s="145"/>
      <c r="Q291" s="145"/>
      <c r="R291" s="145"/>
      <c r="S291" s="145"/>
      <c r="T291" s="145"/>
      <c r="U291" s="145"/>
      <c r="V291" s="145"/>
      <c r="W291" s="145"/>
      <c r="X291" s="145"/>
      <c r="Y291" s="145"/>
      <c r="Z291" s="145"/>
    </row>
    <row r="292" spans="1:26" ht="15.75" x14ac:dyDescent="0.25">
      <c r="A292" s="145"/>
      <c r="B292" s="145"/>
      <c r="C292" s="145"/>
      <c r="D292" s="145"/>
      <c r="E292" s="145"/>
      <c r="F292" s="145"/>
      <c r="G292" s="145"/>
      <c r="H292" s="145"/>
      <c r="I292" s="145"/>
      <c r="J292" s="145"/>
      <c r="K292" s="145"/>
      <c r="L292" s="145"/>
      <c r="M292" s="145"/>
      <c r="N292" s="145"/>
      <c r="O292" s="145"/>
      <c r="P292" s="145"/>
      <c r="Q292" s="145"/>
      <c r="R292" s="145"/>
      <c r="S292" s="145"/>
      <c r="T292" s="145"/>
      <c r="U292" s="145"/>
      <c r="V292" s="145"/>
      <c r="W292" s="145"/>
      <c r="X292" s="145"/>
      <c r="Y292" s="145"/>
      <c r="Z292" s="145"/>
    </row>
    <row r="293" spans="1:26" ht="15.75" x14ac:dyDescent="0.25">
      <c r="A293" s="145"/>
      <c r="B293" s="145"/>
      <c r="C293" s="145"/>
      <c r="D293" s="145"/>
      <c r="E293" s="145"/>
      <c r="F293" s="145"/>
      <c r="G293" s="145"/>
      <c r="H293" s="145"/>
      <c r="I293" s="145"/>
      <c r="J293" s="145"/>
      <c r="K293" s="145"/>
      <c r="L293" s="145"/>
      <c r="M293" s="145"/>
      <c r="N293" s="145"/>
      <c r="O293" s="145"/>
      <c r="P293" s="145"/>
      <c r="Q293" s="145"/>
      <c r="R293" s="145"/>
      <c r="S293" s="145"/>
      <c r="T293" s="145"/>
      <c r="U293" s="145"/>
      <c r="V293" s="145"/>
      <c r="W293" s="145"/>
      <c r="X293" s="145"/>
      <c r="Y293" s="145"/>
      <c r="Z293" s="145"/>
    </row>
    <row r="294" spans="1:26" ht="15.75" x14ac:dyDescent="0.25">
      <c r="A294" s="145"/>
      <c r="B294" s="145"/>
      <c r="C294" s="145"/>
      <c r="D294" s="145"/>
      <c r="E294" s="145"/>
      <c r="F294" s="145"/>
      <c r="G294" s="145"/>
      <c r="H294" s="145"/>
      <c r="I294" s="145"/>
      <c r="J294" s="145"/>
      <c r="K294" s="145"/>
      <c r="L294" s="145"/>
      <c r="M294" s="145"/>
      <c r="N294" s="145"/>
      <c r="O294" s="145"/>
      <c r="P294" s="145"/>
      <c r="Q294" s="145"/>
      <c r="R294" s="145"/>
      <c r="S294" s="145"/>
      <c r="T294" s="145"/>
      <c r="U294" s="145"/>
      <c r="V294" s="145"/>
      <c r="W294" s="145"/>
      <c r="X294" s="145"/>
      <c r="Y294" s="145"/>
      <c r="Z294" s="145"/>
    </row>
    <row r="295" spans="1:26" ht="15.75" x14ac:dyDescent="0.25">
      <c r="A295" s="145"/>
      <c r="B295" s="145"/>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row>
    <row r="296" spans="1:26" ht="15.75" x14ac:dyDescent="0.25">
      <c r="A296" s="145"/>
      <c r="B296" s="145"/>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row>
    <row r="297" spans="1:26" ht="15.75" x14ac:dyDescent="0.25">
      <c r="A297" s="145"/>
      <c r="B297" s="145"/>
      <c r="C297" s="145"/>
      <c r="D297" s="145"/>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row>
    <row r="298" spans="1:26" ht="15.75" x14ac:dyDescent="0.25">
      <c r="A298" s="145"/>
      <c r="B298" s="145"/>
      <c r="C298" s="145"/>
      <c r="D298" s="145"/>
      <c r="E298" s="145"/>
      <c r="F298" s="145"/>
      <c r="G298" s="145"/>
      <c r="H298" s="145"/>
      <c r="I298" s="145"/>
      <c r="J298" s="145"/>
      <c r="K298" s="145"/>
      <c r="L298" s="145"/>
      <c r="M298" s="145"/>
      <c r="N298" s="145"/>
      <c r="O298" s="145"/>
      <c r="P298" s="145"/>
      <c r="Q298" s="145"/>
      <c r="R298" s="145"/>
      <c r="S298" s="145"/>
      <c r="T298" s="145"/>
      <c r="U298" s="145"/>
      <c r="V298" s="145"/>
      <c r="W298" s="145"/>
      <c r="X298" s="145"/>
      <c r="Y298" s="145"/>
      <c r="Z298" s="145"/>
    </row>
    <row r="299" spans="1:26" ht="15.75" x14ac:dyDescent="0.25">
      <c r="A299" s="145"/>
      <c r="B299" s="145"/>
      <c r="C299" s="145"/>
      <c r="D299" s="145"/>
      <c r="E299" s="145"/>
      <c r="F299" s="145"/>
      <c r="G299" s="145"/>
      <c r="H299" s="145"/>
      <c r="I299" s="145"/>
      <c r="J299" s="145"/>
      <c r="K299" s="145"/>
      <c r="L299" s="145"/>
      <c r="M299" s="145"/>
      <c r="N299" s="145"/>
      <c r="O299" s="145"/>
      <c r="P299" s="145"/>
      <c r="Q299" s="145"/>
      <c r="R299" s="145"/>
      <c r="S299" s="145"/>
      <c r="T299" s="145"/>
      <c r="U299" s="145"/>
      <c r="V299" s="145"/>
      <c r="W299" s="145"/>
      <c r="X299" s="145"/>
      <c r="Y299" s="145"/>
      <c r="Z299" s="145"/>
    </row>
    <row r="300" spans="1:26" ht="15.75" x14ac:dyDescent="0.25">
      <c r="A300" s="145"/>
      <c r="B300" s="145"/>
      <c r="C300" s="145"/>
      <c r="D300" s="145"/>
      <c r="E300" s="145"/>
      <c r="F300" s="145"/>
      <c r="G300" s="145"/>
      <c r="H300" s="145"/>
      <c r="I300" s="145"/>
      <c r="J300" s="145"/>
      <c r="K300" s="145"/>
      <c r="L300" s="145"/>
      <c r="M300" s="145"/>
      <c r="N300" s="145"/>
      <c r="O300" s="145"/>
      <c r="P300" s="145"/>
      <c r="Q300" s="145"/>
      <c r="R300" s="145"/>
      <c r="S300" s="145"/>
      <c r="T300" s="145"/>
      <c r="U300" s="145"/>
      <c r="V300" s="145"/>
      <c r="W300" s="145"/>
      <c r="X300" s="145"/>
      <c r="Y300" s="145"/>
      <c r="Z300" s="145"/>
    </row>
    <row r="301" spans="1:26" ht="15.75" x14ac:dyDescent="0.25">
      <c r="A301" s="145"/>
      <c r="B301" s="145"/>
      <c r="C301" s="145"/>
      <c r="D301" s="145"/>
      <c r="E301" s="145"/>
      <c r="F301" s="145"/>
      <c r="G301" s="145"/>
      <c r="H301" s="145"/>
      <c r="I301" s="145"/>
      <c r="J301" s="145"/>
      <c r="K301" s="145"/>
      <c r="L301" s="145"/>
      <c r="M301" s="145"/>
      <c r="N301" s="145"/>
      <c r="O301" s="145"/>
      <c r="P301" s="145"/>
      <c r="Q301" s="145"/>
      <c r="R301" s="145"/>
      <c r="S301" s="145"/>
      <c r="T301" s="145"/>
      <c r="U301" s="145"/>
      <c r="V301" s="145"/>
      <c r="W301" s="145"/>
      <c r="X301" s="145"/>
      <c r="Y301" s="145"/>
      <c r="Z301" s="145"/>
    </row>
    <row r="302" spans="1:26" ht="15.75" x14ac:dyDescent="0.25">
      <c r="A302" s="145"/>
      <c r="B302" s="145"/>
      <c r="C302" s="145"/>
      <c r="D302" s="145"/>
      <c r="E302" s="145"/>
      <c r="F302" s="145"/>
      <c r="G302" s="145"/>
      <c r="H302" s="145"/>
      <c r="I302" s="145"/>
      <c r="J302" s="145"/>
      <c r="K302" s="145"/>
      <c r="L302" s="145"/>
      <c r="M302" s="145"/>
      <c r="N302" s="145"/>
      <c r="O302" s="145"/>
      <c r="P302" s="145"/>
      <c r="Q302" s="145"/>
      <c r="R302" s="145"/>
      <c r="S302" s="145"/>
      <c r="T302" s="145"/>
      <c r="U302" s="145"/>
      <c r="V302" s="145"/>
      <c r="W302" s="145"/>
      <c r="X302" s="145"/>
      <c r="Y302" s="145"/>
      <c r="Z302" s="145"/>
    </row>
    <row r="303" spans="1:26" ht="15.75" x14ac:dyDescent="0.25">
      <c r="A303" s="145"/>
      <c r="B303" s="145"/>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row>
    <row r="304" spans="1:26" ht="15.75" x14ac:dyDescent="0.25">
      <c r="A304" s="145"/>
      <c r="B304" s="145"/>
      <c r="C304" s="145"/>
      <c r="D304" s="145"/>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row>
    <row r="305" spans="1:26" ht="15.75" x14ac:dyDescent="0.25">
      <c r="A305" s="145"/>
      <c r="B305" s="145"/>
      <c r="C305" s="145"/>
      <c r="D305" s="145"/>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5"/>
    </row>
    <row r="306" spans="1:26" ht="15.75" x14ac:dyDescent="0.25">
      <c r="A306" s="145"/>
      <c r="B306" s="145"/>
      <c r="C306" s="145"/>
      <c r="D306" s="145"/>
      <c r="E306" s="145"/>
      <c r="F306" s="145"/>
      <c r="G306" s="145"/>
      <c r="H306" s="145"/>
      <c r="I306" s="145"/>
      <c r="J306" s="145"/>
      <c r="K306" s="145"/>
      <c r="L306" s="145"/>
      <c r="M306" s="145"/>
      <c r="N306" s="145"/>
      <c r="O306" s="145"/>
      <c r="P306" s="145"/>
      <c r="Q306" s="145"/>
      <c r="R306" s="145"/>
      <c r="S306" s="145"/>
      <c r="T306" s="145"/>
      <c r="U306" s="145"/>
      <c r="V306" s="145"/>
      <c r="W306" s="145"/>
      <c r="X306" s="145"/>
      <c r="Y306" s="145"/>
      <c r="Z306" s="145"/>
    </row>
    <row r="307" spans="1:26" ht="15.75" x14ac:dyDescent="0.25">
      <c r="A307" s="145"/>
      <c r="B307" s="145"/>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row>
    <row r="308" spans="1:26" ht="15.75" x14ac:dyDescent="0.25">
      <c r="A308" s="145"/>
      <c r="B308" s="145"/>
      <c r="C308" s="145"/>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row>
    <row r="309" spans="1:26" ht="15.75" x14ac:dyDescent="0.25">
      <c r="A309" s="145"/>
      <c r="B309" s="145"/>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row>
    <row r="310" spans="1:26" ht="15.75" x14ac:dyDescent="0.25">
      <c r="A310" s="145"/>
      <c r="B310" s="145"/>
      <c r="C310" s="145"/>
      <c r="D310" s="145"/>
      <c r="E310" s="145"/>
      <c r="F310" s="145"/>
      <c r="G310" s="145"/>
      <c r="H310" s="145"/>
      <c r="I310" s="145"/>
      <c r="J310" s="145"/>
      <c r="K310" s="145"/>
      <c r="L310" s="145"/>
      <c r="M310" s="145"/>
      <c r="N310" s="145"/>
      <c r="O310" s="145"/>
      <c r="P310" s="145"/>
      <c r="Q310" s="145"/>
      <c r="R310" s="145"/>
      <c r="S310" s="145"/>
      <c r="T310" s="145"/>
      <c r="U310" s="145"/>
      <c r="V310" s="145"/>
      <c r="W310" s="145"/>
      <c r="X310" s="145"/>
      <c r="Y310" s="145"/>
      <c r="Z310" s="145"/>
    </row>
    <row r="311" spans="1:26" ht="15.75" x14ac:dyDescent="0.25">
      <c r="A311" s="145"/>
      <c r="B311" s="145"/>
      <c r="C311" s="145"/>
      <c r="D311" s="145"/>
      <c r="E311" s="145"/>
      <c r="F311" s="145"/>
      <c r="G311" s="145"/>
      <c r="H311" s="145"/>
      <c r="I311" s="145"/>
      <c r="J311" s="145"/>
      <c r="K311" s="145"/>
      <c r="L311" s="145"/>
      <c r="M311" s="145"/>
      <c r="N311" s="145"/>
      <c r="O311" s="145"/>
      <c r="P311" s="145"/>
      <c r="Q311" s="145"/>
      <c r="R311" s="145"/>
      <c r="S311" s="145"/>
      <c r="T311" s="145"/>
      <c r="U311" s="145"/>
      <c r="V311" s="145"/>
      <c r="W311" s="145"/>
      <c r="X311" s="145"/>
      <c r="Y311" s="145"/>
      <c r="Z311" s="145"/>
    </row>
    <row r="312" spans="1:26" ht="15.75" x14ac:dyDescent="0.25">
      <c r="A312" s="145"/>
      <c r="B312" s="145"/>
      <c r="C312" s="145"/>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row>
    <row r="313" spans="1:26" ht="15.75" x14ac:dyDescent="0.25">
      <c r="A313" s="145"/>
      <c r="B313" s="145"/>
      <c r="C313" s="145"/>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row>
    <row r="314" spans="1:26" ht="15.75" x14ac:dyDescent="0.25">
      <c r="A314" s="145"/>
      <c r="B314" s="145"/>
      <c r="C314" s="145"/>
      <c r="D314" s="145"/>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5"/>
    </row>
    <row r="315" spans="1:26" ht="15.75" x14ac:dyDescent="0.25">
      <c r="A315" s="145"/>
      <c r="B315" s="145"/>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row>
    <row r="316" spans="1:26" ht="15.75" x14ac:dyDescent="0.25">
      <c r="A316" s="145"/>
      <c r="B316" s="145"/>
      <c r="C316" s="145"/>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row>
    <row r="317" spans="1:26" ht="15.75" x14ac:dyDescent="0.25">
      <c r="A317" s="145"/>
      <c r="B317" s="145"/>
      <c r="C317" s="145"/>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row>
    <row r="318" spans="1:26" ht="15.75" x14ac:dyDescent="0.25">
      <c r="A318" s="145"/>
      <c r="B318" s="145"/>
      <c r="C318" s="145"/>
      <c r="D318" s="145"/>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row>
    <row r="319" spans="1:26" ht="15.75" x14ac:dyDescent="0.25">
      <c r="A319" s="145"/>
      <c r="B319" s="145"/>
      <c r="C319" s="145"/>
      <c r="D319" s="145"/>
      <c r="E319" s="145"/>
      <c r="F319" s="145"/>
      <c r="G319" s="145"/>
      <c r="H319" s="145"/>
      <c r="I319" s="145"/>
      <c r="J319" s="145"/>
      <c r="K319" s="145"/>
      <c r="L319" s="145"/>
      <c r="M319" s="145"/>
      <c r="N319" s="145"/>
      <c r="O319" s="145"/>
      <c r="P319" s="145"/>
      <c r="Q319" s="145"/>
      <c r="R319" s="145"/>
      <c r="S319" s="145"/>
      <c r="T319" s="145"/>
      <c r="U319" s="145"/>
      <c r="V319" s="145"/>
      <c r="W319" s="145"/>
      <c r="X319" s="145"/>
      <c r="Y319" s="145"/>
      <c r="Z319" s="145"/>
    </row>
    <row r="320" spans="1:26" ht="15.75" x14ac:dyDescent="0.25">
      <c r="A320" s="145"/>
      <c r="B320" s="145"/>
      <c r="C320" s="145"/>
      <c r="D320" s="145"/>
      <c r="E320" s="145"/>
      <c r="F320" s="145"/>
      <c r="G320" s="145"/>
      <c r="H320" s="145"/>
      <c r="I320" s="145"/>
      <c r="J320" s="145"/>
      <c r="K320" s="145"/>
      <c r="L320" s="145"/>
      <c r="M320" s="145"/>
      <c r="N320" s="145"/>
      <c r="O320" s="145"/>
      <c r="P320" s="145"/>
      <c r="Q320" s="145"/>
      <c r="R320" s="145"/>
      <c r="S320" s="145"/>
      <c r="T320" s="145"/>
      <c r="U320" s="145"/>
      <c r="V320" s="145"/>
      <c r="W320" s="145"/>
      <c r="X320" s="145"/>
      <c r="Y320" s="145"/>
      <c r="Z320" s="145"/>
    </row>
    <row r="321" spans="1:26" ht="15.75" x14ac:dyDescent="0.25">
      <c r="A321" s="145"/>
      <c r="B321" s="145"/>
      <c r="C321" s="145"/>
      <c r="D321" s="145"/>
      <c r="E321" s="145"/>
      <c r="F321" s="145"/>
      <c r="G321" s="145"/>
      <c r="H321" s="145"/>
      <c r="I321" s="145"/>
      <c r="J321" s="145"/>
      <c r="K321" s="145"/>
      <c r="L321" s="145"/>
      <c r="M321" s="145"/>
      <c r="N321" s="145"/>
      <c r="O321" s="145"/>
      <c r="P321" s="145"/>
      <c r="Q321" s="145"/>
      <c r="R321" s="145"/>
      <c r="S321" s="145"/>
      <c r="T321" s="145"/>
      <c r="U321" s="145"/>
      <c r="V321" s="145"/>
      <c r="W321" s="145"/>
      <c r="X321" s="145"/>
      <c r="Y321" s="145"/>
      <c r="Z321" s="145"/>
    </row>
    <row r="322" spans="1:26" ht="15.75" x14ac:dyDescent="0.25">
      <c r="A322" s="145"/>
      <c r="B322" s="145"/>
      <c r="C322" s="145"/>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row>
    <row r="323" spans="1:26" ht="15.75" x14ac:dyDescent="0.25">
      <c r="A323" s="145"/>
      <c r="B323" s="145"/>
      <c r="C323" s="145"/>
      <c r="D323" s="145"/>
      <c r="E323" s="145"/>
      <c r="F323" s="145"/>
      <c r="G323" s="145"/>
      <c r="H323" s="145"/>
      <c r="I323" s="145"/>
      <c r="J323" s="145"/>
      <c r="K323" s="145"/>
      <c r="L323" s="145"/>
      <c r="M323" s="145"/>
      <c r="N323" s="145"/>
      <c r="O323" s="145"/>
      <c r="P323" s="145"/>
      <c r="Q323" s="145"/>
      <c r="R323" s="145"/>
      <c r="S323" s="145"/>
      <c r="T323" s="145"/>
      <c r="U323" s="145"/>
      <c r="V323" s="145"/>
      <c r="W323" s="145"/>
      <c r="X323" s="145"/>
      <c r="Y323" s="145"/>
      <c r="Z323" s="145"/>
    </row>
    <row r="324" spans="1:26" ht="15.75" x14ac:dyDescent="0.25">
      <c r="A324" s="145"/>
      <c r="B324" s="145"/>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145"/>
      <c r="Z324" s="145"/>
    </row>
    <row r="325" spans="1:26" ht="15.75" x14ac:dyDescent="0.25">
      <c r="A325" s="145"/>
      <c r="B325" s="145"/>
      <c r="C325" s="145"/>
      <c r="D325" s="145"/>
      <c r="E325" s="145"/>
      <c r="F325" s="145"/>
      <c r="G325" s="145"/>
      <c r="H325" s="145"/>
      <c r="I325" s="145"/>
      <c r="J325" s="145"/>
      <c r="K325" s="145"/>
      <c r="L325" s="145"/>
      <c r="M325" s="145"/>
      <c r="N325" s="145"/>
      <c r="O325" s="145"/>
      <c r="P325" s="145"/>
      <c r="Q325" s="145"/>
      <c r="R325" s="145"/>
      <c r="S325" s="145"/>
      <c r="T325" s="145"/>
      <c r="U325" s="145"/>
      <c r="V325" s="145"/>
      <c r="W325" s="145"/>
      <c r="X325" s="145"/>
      <c r="Y325" s="145"/>
      <c r="Z325" s="145"/>
    </row>
    <row r="326" spans="1:26" ht="15.75" x14ac:dyDescent="0.25">
      <c r="A326" s="145"/>
      <c r="B326" s="145"/>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row>
    <row r="327" spans="1:26" ht="15.75" x14ac:dyDescent="0.25">
      <c r="A327" s="145"/>
      <c r="B327" s="145"/>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row>
    <row r="328" spans="1:26" ht="15.75" x14ac:dyDescent="0.25">
      <c r="A328" s="145"/>
      <c r="B328" s="145"/>
      <c r="C328" s="145"/>
      <c r="D328" s="145"/>
      <c r="E328" s="145"/>
      <c r="F328" s="145"/>
      <c r="G328" s="145"/>
      <c r="H328" s="145"/>
      <c r="I328" s="145"/>
      <c r="J328" s="145"/>
      <c r="K328" s="145"/>
      <c r="L328" s="145"/>
      <c r="M328" s="145"/>
      <c r="N328" s="145"/>
      <c r="O328" s="145"/>
      <c r="P328" s="145"/>
      <c r="Q328" s="145"/>
      <c r="R328" s="145"/>
      <c r="S328" s="145"/>
      <c r="T328" s="145"/>
      <c r="U328" s="145"/>
      <c r="V328" s="145"/>
      <c r="W328" s="145"/>
      <c r="X328" s="145"/>
      <c r="Y328" s="145"/>
      <c r="Z328" s="145"/>
    </row>
    <row r="329" spans="1:26" ht="15.75" x14ac:dyDescent="0.25">
      <c r="A329" s="145"/>
      <c r="B329" s="145"/>
      <c r="C329" s="145"/>
      <c r="D329" s="145"/>
      <c r="E329" s="145"/>
      <c r="F329" s="145"/>
      <c r="G329" s="145"/>
      <c r="H329" s="145"/>
      <c r="I329" s="145"/>
      <c r="J329" s="145"/>
      <c r="K329" s="145"/>
      <c r="L329" s="145"/>
      <c r="M329" s="145"/>
      <c r="N329" s="145"/>
      <c r="O329" s="145"/>
      <c r="P329" s="145"/>
      <c r="Q329" s="145"/>
      <c r="R329" s="145"/>
      <c r="S329" s="145"/>
      <c r="T329" s="145"/>
      <c r="U329" s="145"/>
      <c r="V329" s="145"/>
      <c r="W329" s="145"/>
      <c r="X329" s="145"/>
      <c r="Y329" s="145"/>
      <c r="Z329" s="145"/>
    </row>
    <row r="330" spans="1:26" ht="15.75" x14ac:dyDescent="0.25">
      <c r="A330" s="145"/>
      <c r="B330" s="145"/>
      <c r="C330" s="145"/>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row>
    <row r="331" spans="1:26" ht="15.75" x14ac:dyDescent="0.25">
      <c r="A331" s="145"/>
      <c r="B331" s="145"/>
      <c r="C331" s="145"/>
      <c r="D331" s="145"/>
      <c r="E331" s="145"/>
      <c r="F331" s="145"/>
      <c r="G331" s="145"/>
      <c r="H331" s="145"/>
      <c r="I331" s="145"/>
      <c r="J331" s="145"/>
      <c r="K331" s="145"/>
      <c r="L331" s="145"/>
      <c r="M331" s="145"/>
      <c r="N331" s="145"/>
      <c r="O331" s="145"/>
      <c r="P331" s="145"/>
      <c r="Q331" s="145"/>
      <c r="R331" s="145"/>
      <c r="S331" s="145"/>
      <c r="T331" s="145"/>
      <c r="U331" s="145"/>
      <c r="V331" s="145"/>
      <c r="W331" s="145"/>
      <c r="X331" s="145"/>
      <c r="Y331" s="145"/>
      <c r="Z331" s="145"/>
    </row>
    <row r="332" spans="1:26" ht="15.75" x14ac:dyDescent="0.25">
      <c r="A332" s="145"/>
      <c r="B332" s="145"/>
      <c r="C332" s="145"/>
      <c r="D332" s="145"/>
      <c r="E332" s="145"/>
      <c r="F332" s="145"/>
      <c r="G332" s="145"/>
      <c r="H332" s="145"/>
      <c r="I332" s="145"/>
      <c r="J332" s="145"/>
      <c r="K332" s="145"/>
      <c r="L332" s="145"/>
      <c r="M332" s="145"/>
      <c r="N332" s="145"/>
      <c r="O332" s="145"/>
      <c r="P332" s="145"/>
      <c r="Q332" s="145"/>
      <c r="R332" s="145"/>
      <c r="S332" s="145"/>
      <c r="T332" s="145"/>
      <c r="U332" s="145"/>
      <c r="V332" s="145"/>
      <c r="W332" s="145"/>
      <c r="X332" s="145"/>
      <c r="Y332" s="145"/>
      <c r="Z332" s="145"/>
    </row>
    <row r="333" spans="1:26" ht="15.75" x14ac:dyDescent="0.25">
      <c r="A333" s="145"/>
      <c r="B333" s="145"/>
      <c r="C333" s="145"/>
      <c r="D333" s="145"/>
      <c r="E333" s="145"/>
      <c r="F333" s="145"/>
      <c r="G333" s="145"/>
      <c r="H333" s="145"/>
      <c r="I333" s="145"/>
      <c r="J333" s="145"/>
      <c r="K333" s="145"/>
      <c r="L333" s="145"/>
      <c r="M333" s="145"/>
      <c r="N333" s="145"/>
      <c r="O333" s="145"/>
      <c r="P333" s="145"/>
      <c r="Q333" s="145"/>
      <c r="R333" s="145"/>
      <c r="S333" s="145"/>
      <c r="T333" s="145"/>
      <c r="U333" s="145"/>
      <c r="V333" s="145"/>
      <c r="W333" s="145"/>
      <c r="X333" s="145"/>
      <c r="Y333" s="145"/>
      <c r="Z333" s="145"/>
    </row>
    <row r="334" spans="1:26" ht="15.75" x14ac:dyDescent="0.25">
      <c r="A334" s="145"/>
      <c r="B334" s="145"/>
      <c r="C334" s="145"/>
      <c r="D334" s="145"/>
      <c r="E334" s="145"/>
      <c r="F334" s="145"/>
      <c r="G334" s="145"/>
      <c r="H334" s="145"/>
      <c r="I334" s="145"/>
      <c r="J334" s="145"/>
      <c r="K334" s="145"/>
      <c r="L334" s="145"/>
      <c r="M334" s="145"/>
      <c r="N334" s="145"/>
      <c r="O334" s="145"/>
      <c r="P334" s="145"/>
      <c r="Q334" s="145"/>
      <c r="R334" s="145"/>
      <c r="S334" s="145"/>
      <c r="T334" s="145"/>
      <c r="U334" s="145"/>
      <c r="V334" s="145"/>
      <c r="W334" s="145"/>
      <c r="X334" s="145"/>
      <c r="Y334" s="145"/>
      <c r="Z334" s="145"/>
    </row>
    <row r="335" spans="1:26" ht="15.75" x14ac:dyDescent="0.25">
      <c r="A335" s="145"/>
      <c r="B335" s="145"/>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row>
    <row r="336" spans="1:26" ht="15.75" x14ac:dyDescent="0.25">
      <c r="A336" s="145"/>
      <c r="B336" s="145"/>
      <c r="C336" s="145"/>
      <c r="D336" s="145"/>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row>
    <row r="337" spans="1:26" ht="15.75" x14ac:dyDescent="0.25">
      <c r="A337" s="145"/>
      <c r="B337" s="145"/>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row>
    <row r="338" spans="1:26" ht="15.75" x14ac:dyDescent="0.25">
      <c r="A338" s="145"/>
      <c r="B338" s="145"/>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row>
    <row r="339" spans="1:26" ht="15.75" x14ac:dyDescent="0.25">
      <c r="A339" s="145"/>
      <c r="B339" s="145"/>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row>
    <row r="340" spans="1:26" ht="15.75" x14ac:dyDescent="0.25">
      <c r="A340" s="145"/>
      <c r="B340" s="145"/>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row>
    <row r="341" spans="1:26" ht="15.75" x14ac:dyDescent="0.25">
      <c r="A341" s="145"/>
      <c r="B341" s="145"/>
      <c r="C341" s="145"/>
      <c r="D341" s="145"/>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row>
    <row r="342" spans="1:26" ht="15.75" x14ac:dyDescent="0.25">
      <c r="A342" s="145"/>
      <c r="B342" s="145"/>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row>
    <row r="343" spans="1:26" ht="15.75" x14ac:dyDescent="0.25">
      <c r="A343" s="145"/>
      <c r="B343" s="145"/>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row>
    <row r="344" spans="1:26" ht="15.75" x14ac:dyDescent="0.25">
      <c r="A344" s="145"/>
      <c r="B344" s="145"/>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row>
    <row r="345" spans="1:26" ht="15.75" x14ac:dyDescent="0.25">
      <c r="A345" s="145"/>
      <c r="B345" s="145"/>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row>
    <row r="346" spans="1:26" ht="15.75" x14ac:dyDescent="0.25">
      <c r="A346" s="145"/>
      <c r="B346" s="145"/>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row>
    <row r="347" spans="1:26" ht="15.75" x14ac:dyDescent="0.25">
      <c r="A347" s="145"/>
      <c r="B347" s="145"/>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row>
    <row r="348" spans="1:26" ht="15.75" x14ac:dyDescent="0.25">
      <c r="A348" s="145"/>
      <c r="B348" s="145"/>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row>
    <row r="349" spans="1:26" ht="15.75" x14ac:dyDescent="0.25">
      <c r="A349" s="145"/>
      <c r="B349" s="145"/>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row>
    <row r="350" spans="1:26" ht="15.75" x14ac:dyDescent="0.25">
      <c r="A350" s="145"/>
      <c r="B350" s="145"/>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row>
    <row r="351" spans="1:26" ht="15.75" x14ac:dyDescent="0.25">
      <c r="A351" s="145"/>
      <c r="B351" s="145"/>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row>
    <row r="352" spans="1:26" ht="15.75" x14ac:dyDescent="0.25">
      <c r="A352" s="145"/>
      <c r="B352" s="145"/>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row>
    <row r="353" spans="1:26" ht="15.75" x14ac:dyDescent="0.25">
      <c r="A353" s="145"/>
      <c r="B353" s="145"/>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row>
    <row r="354" spans="1:26" ht="15.75" x14ac:dyDescent="0.25">
      <c r="A354" s="145"/>
      <c r="B354" s="145"/>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5"/>
      <c r="Z354" s="145"/>
    </row>
    <row r="355" spans="1:26" ht="15.75" x14ac:dyDescent="0.25">
      <c r="A355" s="145"/>
      <c r="B355" s="145"/>
      <c r="C355" s="145"/>
      <c r="D355" s="145"/>
      <c r="E355" s="145"/>
      <c r="F355" s="145"/>
      <c r="G355" s="145"/>
      <c r="H355" s="145"/>
      <c r="I355" s="145"/>
      <c r="J355" s="145"/>
      <c r="K355" s="145"/>
      <c r="L355" s="145"/>
      <c r="M355" s="145"/>
      <c r="N355" s="145"/>
      <c r="O355" s="145"/>
      <c r="P355" s="145"/>
      <c r="Q355" s="145"/>
      <c r="R355" s="145"/>
      <c r="S355" s="145"/>
      <c r="T355" s="145"/>
      <c r="U355" s="145"/>
      <c r="V355" s="145"/>
      <c r="W355" s="145"/>
      <c r="X355" s="145"/>
      <c r="Y355" s="145"/>
      <c r="Z355" s="145"/>
    </row>
    <row r="356" spans="1:26" ht="15.75" x14ac:dyDescent="0.25">
      <c r="A356" s="145"/>
      <c r="B356" s="145"/>
      <c r="C356" s="145"/>
      <c r="D356" s="145"/>
      <c r="E356" s="145"/>
      <c r="F356" s="145"/>
      <c r="G356" s="145"/>
      <c r="H356" s="145"/>
      <c r="I356" s="145"/>
      <c r="J356" s="145"/>
      <c r="K356" s="145"/>
      <c r="L356" s="145"/>
      <c r="M356" s="145"/>
      <c r="N356" s="145"/>
      <c r="O356" s="145"/>
      <c r="P356" s="145"/>
      <c r="Q356" s="145"/>
      <c r="R356" s="145"/>
      <c r="S356" s="145"/>
      <c r="T356" s="145"/>
      <c r="U356" s="145"/>
      <c r="V356" s="145"/>
      <c r="W356" s="145"/>
      <c r="X356" s="145"/>
      <c r="Y356" s="145"/>
      <c r="Z356" s="145"/>
    </row>
    <row r="357" spans="1:26" ht="15.75" x14ac:dyDescent="0.25">
      <c r="A357" s="145"/>
      <c r="B357" s="145"/>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row>
    <row r="358" spans="1:26" ht="15.75" x14ac:dyDescent="0.25">
      <c r="A358" s="145"/>
      <c r="B358" s="145"/>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row>
    <row r="359" spans="1:26" ht="15.75" x14ac:dyDescent="0.25">
      <c r="A359" s="145"/>
      <c r="B359" s="145"/>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c r="Y359" s="145"/>
      <c r="Z359" s="145"/>
    </row>
    <row r="360" spans="1:26" ht="15.75" x14ac:dyDescent="0.25">
      <c r="A360" s="145"/>
      <c r="B360" s="145"/>
      <c r="C360" s="145"/>
      <c r="D360" s="145"/>
      <c r="E360" s="145"/>
      <c r="F360" s="145"/>
      <c r="G360" s="145"/>
      <c r="H360" s="145"/>
      <c r="I360" s="145"/>
      <c r="J360" s="145"/>
      <c r="K360" s="145"/>
      <c r="L360" s="145"/>
      <c r="M360" s="145"/>
      <c r="N360" s="145"/>
      <c r="O360" s="145"/>
      <c r="P360" s="145"/>
      <c r="Q360" s="145"/>
      <c r="R360" s="145"/>
      <c r="S360" s="145"/>
      <c r="T360" s="145"/>
      <c r="U360" s="145"/>
      <c r="V360" s="145"/>
      <c r="W360" s="145"/>
      <c r="X360" s="145"/>
      <c r="Y360" s="145"/>
      <c r="Z360" s="145"/>
    </row>
    <row r="361" spans="1:26" ht="15.75" x14ac:dyDescent="0.25">
      <c r="A361" s="145"/>
      <c r="B361" s="145"/>
      <c r="C361" s="145"/>
      <c r="D361" s="145"/>
      <c r="E361" s="145"/>
      <c r="F361" s="145"/>
      <c r="G361" s="145"/>
      <c r="H361" s="145"/>
      <c r="I361" s="145"/>
      <c r="J361" s="145"/>
      <c r="K361" s="145"/>
      <c r="L361" s="145"/>
      <c r="M361" s="145"/>
      <c r="N361" s="145"/>
      <c r="O361" s="145"/>
      <c r="P361" s="145"/>
      <c r="Q361" s="145"/>
      <c r="R361" s="145"/>
      <c r="S361" s="145"/>
      <c r="T361" s="145"/>
      <c r="U361" s="145"/>
      <c r="V361" s="145"/>
      <c r="W361" s="145"/>
      <c r="X361" s="145"/>
      <c r="Y361" s="145"/>
      <c r="Z361" s="145"/>
    </row>
    <row r="362" spans="1:26" ht="15.75" x14ac:dyDescent="0.25">
      <c r="A362" s="145"/>
      <c r="B362" s="145"/>
      <c r="C362" s="145"/>
      <c r="D362" s="145"/>
      <c r="E362" s="145"/>
      <c r="F362" s="145"/>
      <c r="G362" s="145"/>
      <c r="H362" s="145"/>
      <c r="I362" s="145"/>
      <c r="J362" s="145"/>
      <c r="K362" s="145"/>
      <c r="L362" s="145"/>
      <c r="M362" s="145"/>
      <c r="N362" s="145"/>
      <c r="O362" s="145"/>
      <c r="P362" s="145"/>
      <c r="Q362" s="145"/>
      <c r="R362" s="145"/>
      <c r="S362" s="145"/>
      <c r="T362" s="145"/>
      <c r="U362" s="145"/>
      <c r="V362" s="145"/>
      <c r="W362" s="145"/>
      <c r="X362" s="145"/>
      <c r="Y362" s="145"/>
      <c r="Z362" s="145"/>
    </row>
    <row r="363" spans="1:26" ht="15.75" x14ac:dyDescent="0.25">
      <c r="A363" s="145"/>
      <c r="B363" s="145"/>
      <c r="C363" s="145"/>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5"/>
      <c r="Z363" s="145"/>
    </row>
    <row r="364" spans="1:26" ht="15.75" x14ac:dyDescent="0.25">
      <c r="A364" s="145"/>
      <c r="B364" s="145"/>
      <c r="C364" s="145"/>
      <c r="D364" s="145"/>
      <c r="E364" s="145"/>
      <c r="F364" s="145"/>
      <c r="G364" s="145"/>
      <c r="H364" s="145"/>
      <c r="I364" s="145"/>
      <c r="J364" s="145"/>
      <c r="K364" s="145"/>
      <c r="L364" s="145"/>
      <c r="M364" s="145"/>
      <c r="N364" s="145"/>
      <c r="O364" s="145"/>
      <c r="P364" s="145"/>
      <c r="Q364" s="145"/>
      <c r="R364" s="145"/>
      <c r="S364" s="145"/>
      <c r="T364" s="145"/>
      <c r="U364" s="145"/>
      <c r="V364" s="145"/>
      <c r="W364" s="145"/>
      <c r="X364" s="145"/>
      <c r="Y364" s="145"/>
      <c r="Z364" s="145"/>
    </row>
    <row r="365" spans="1:26" ht="15.75" x14ac:dyDescent="0.25">
      <c r="A365" s="145"/>
      <c r="B365" s="145"/>
      <c r="C365" s="145"/>
      <c r="D365" s="145"/>
      <c r="E365" s="145"/>
      <c r="F365" s="145"/>
      <c r="G365" s="145"/>
      <c r="H365" s="145"/>
      <c r="I365" s="145"/>
      <c r="J365" s="145"/>
      <c r="K365" s="145"/>
      <c r="L365" s="145"/>
      <c r="M365" s="145"/>
      <c r="N365" s="145"/>
      <c r="O365" s="145"/>
      <c r="P365" s="145"/>
      <c r="Q365" s="145"/>
      <c r="R365" s="145"/>
      <c r="S365" s="145"/>
      <c r="T365" s="145"/>
      <c r="U365" s="145"/>
      <c r="V365" s="145"/>
      <c r="W365" s="145"/>
      <c r="X365" s="145"/>
      <c r="Y365" s="145"/>
      <c r="Z365" s="145"/>
    </row>
    <row r="366" spans="1:26" ht="15.75" x14ac:dyDescent="0.25">
      <c r="A366" s="145"/>
      <c r="B366" s="145"/>
      <c r="C366" s="145"/>
      <c r="D366" s="145"/>
      <c r="E366" s="145"/>
      <c r="F366" s="145"/>
      <c r="G366" s="145"/>
      <c r="H366" s="145"/>
      <c r="I366" s="145"/>
      <c r="J366" s="145"/>
      <c r="K366" s="145"/>
      <c r="L366" s="145"/>
      <c r="M366" s="145"/>
      <c r="N366" s="145"/>
      <c r="O366" s="145"/>
      <c r="P366" s="145"/>
      <c r="Q366" s="145"/>
      <c r="R366" s="145"/>
      <c r="S366" s="145"/>
      <c r="T366" s="145"/>
      <c r="U366" s="145"/>
      <c r="V366" s="145"/>
      <c r="W366" s="145"/>
      <c r="X366" s="145"/>
      <c r="Y366" s="145"/>
      <c r="Z366" s="145"/>
    </row>
    <row r="367" spans="1:26" ht="15.75" x14ac:dyDescent="0.25">
      <c r="A367" s="145"/>
      <c r="B367" s="145"/>
      <c r="C367" s="145"/>
      <c r="D367" s="145"/>
      <c r="E367" s="145"/>
      <c r="F367" s="145"/>
      <c r="G367" s="145"/>
      <c r="H367" s="145"/>
      <c r="I367" s="145"/>
      <c r="J367" s="145"/>
      <c r="K367" s="145"/>
      <c r="L367" s="145"/>
      <c r="M367" s="145"/>
      <c r="N367" s="145"/>
      <c r="O367" s="145"/>
      <c r="P367" s="145"/>
      <c r="Q367" s="145"/>
      <c r="R367" s="145"/>
      <c r="S367" s="145"/>
      <c r="T367" s="145"/>
      <c r="U367" s="145"/>
      <c r="V367" s="145"/>
      <c r="W367" s="145"/>
      <c r="X367" s="145"/>
      <c r="Y367" s="145"/>
      <c r="Z367" s="145"/>
    </row>
    <row r="368" spans="1:26" ht="15.75" x14ac:dyDescent="0.25">
      <c r="A368" s="145"/>
      <c r="B368" s="145"/>
      <c r="C368" s="145"/>
      <c r="D368" s="145"/>
      <c r="E368" s="145"/>
      <c r="F368" s="145"/>
      <c r="G368" s="145"/>
      <c r="H368" s="145"/>
      <c r="I368" s="145"/>
      <c r="J368" s="145"/>
      <c r="K368" s="145"/>
      <c r="L368" s="145"/>
      <c r="M368" s="145"/>
      <c r="N368" s="145"/>
      <c r="O368" s="145"/>
      <c r="P368" s="145"/>
      <c r="Q368" s="145"/>
      <c r="R368" s="145"/>
      <c r="S368" s="145"/>
      <c r="T368" s="145"/>
      <c r="U368" s="145"/>
      <c r="V368" s="145"/>
      <c r="W368" s="145"/>
      <c r="X368" s="145"/>
      <c r="Y368" s="145"/>
      <c r="Z368" s="145"/>
    </row>
    <row r="369" spans="1:26" ht="15.75" x14ac:dyDescent="0.25">
      <c r="A369" s="145"/>
      <c r="B369" s="145"/>
      <c r="C369" s="145"/>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5"/>
      <c r="Z369" s="145"/>
    </row>
    <row r="370" spans="1:26" ht="15.75" x14ac:dyDescent="0.25">
      <c r="A370" s="145"/>
      <c r="B370" s="145"/>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row>
    <row r="371" spans="1:26" ht="15.75" x14ac:dyDescent="0.25">
      <c r="A371" s="145"/>
      <c r="B371" s="145"/>
      <c r="C371" s="145"/>
      <c r="D371" s="145"/>
      <c r="E371" s="145"/>
      <c r="F371" s="145"/>
      <c r="G371" s="145"/>
      <c r="H371" s="145"/>
      <c r="I371" s="145"/>
      <c r="J371" s="145"/>
      <c r="K371" s="145"/>
      <c r="L371" s="145"/>
      <c r="M371" s="145"/>
      <c r="N371" s="145"/>
      <c r="O371" s="145"/>
      <c r="P371" s="145"/>
      <c r="Q371" s="145"/>
      <c r="R371" s="145"/>
      <c r="S371" s="145"/>
      <c r="T371" s="145"/>
      <c r="U371" s="145"/>
      <c r="V371" s="145"/>
      <c r="W371" s="145"/>
      <c r="X371" s="145"/>
      <c r="Y371" s="145"/>
      <c r="Z371" s="145"/>
    </row>
    <row r="372" spans="1:26" ht="15.75" x14ac:dyDescent="0.25">
      <c r="A372" s="145"/>
      <c r="B372" s="145"/>
      <c r="C372" s="145"/>
      <c r="D372" s="145"/>
      <c r="E372" s="145"/>
      <c r="F372" s="145"/>
      <c r="G372" s="145"/>
      <c r="H372" s="145"/>
      <c r="I372" s="145"/>
      <c r="J372" s="145"/>
      <c r="K372" s="145"/>
      <c r="L372" s="145"/>
      <c r="M372" s="145"/>
      <c r="N372" s="145"/>
      <c r="O372" s="145"/>
      <c r="P372" s="145"/>
      <c r="Q372" s="145"/>
      <c r="R372" s="145"/>
      <c r="S372" s="145"/>
      <c r="T372" s="145"/>
      <c r="U372" s="145"/>
      <c r="V372" s="145"/>
      <c r="W372" s="145"/>
      <c r="X372" s="145"/>
      <c r="Y372" s="145"/>
      <c r="Z372" s="145"/>
    </row>
    <row r="373" spans="1:26" ht="15.75" x14ac:dyDescent="0.25">
      <c r="A373" s="145"/>
      <c r="B373" s="145"/>
      <c r="C373" s="145"/>
      <c r="D373" s="145"/>
      <c r="E373" s="145"/>
      <c r="F373" s="145"/>
      <c r="G373" s="145"/>
      <c r="H373" s="145"/>
      <c r="I373" s="145"/>
      <c r="J373" s="145"/>
      <c r="K373" s="145"/>
      <c r="L373" s="145"/>
      <c r="M373" s="145"/>
      <c r="N373" s="145"/>
      <c r="O373" s="145"/>
      <c r="P373" s="145"/>
      <c r="Q373" s="145"/>
      <c r="R373" s="145"/>
      <c r="S373" s="145"/>
      <c r="T373" s="145"/>
      <c r="U373" s="145"/>
      <c r="V373" s="145"/>
      <c r="W373" s="145"/>
      <c r="X373" s="145"/>
      <c r="Y373" s="145"/>
      <c r="Z373" s="145"/>
    </row>
    <row r="374" spans="1:26" ht="15.75" x14ac:dyDescent="0.25">
      <c r="A374" s="145"/>
      <c r="B374" s="145"/>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5"/>
      <c r="Z374" s="145"/>
    </row>
    <row r="375" spans="1:26" ht="15.75" x14ac:dyDescent="0.25">
      <c r="A375" s="145"/>
      <c r="B375" s="145"/>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5"/>
      <c r="Z375" s="145"/>
    </row>
    <row r="376" spans="1:26" ht="15.75" x14ac:dyDescent="0.25">
      <c r="A376" s="145"/>
      <c r="B376" s="145"/>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row>
    <row r="377" spans="1:26" ht="15.75" x14ac:dyDescent="0.25">
      <c r="A377" s="145"/>
      <c r="B377" s="145"/>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row>
    <row r="378" spans="1:26" ht="15.75" x14ac:dyDescent="0.25">
      <c r="A378" s="145"/>
      <c r="B378" s="145"/>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row>
    <row r="379" spans="1:26" ht="15.75" x14ac:dyDescent="0.25">
      <c r="A379" s="145"/>
      <c r="B379" s="145"/>
      <c r="C379" s="145"/>
      <c r="D379" s="145"/>
      <c r="E379" s="145"/>
      <c r="F379" s="145"/>
      <c r="G379" s="145"/>
      <c r="H379" s="145"/>
      <c r="I379" s="145"/>
      <c r="J379" s="145"/>
      <c r="K379" s="145"/>
      <c r="L379" s="145"/>
      <c r="M379" s="145"/>
      <c r="N379" s="145"/>
      <c r="O379" s="145"/>
      <c r="P379" s="145"/>
      <c r="Q379" s="145"/>
      <c r="R379" s="145"/>
      <c r="S379" s="145"/>
      <c r="T379" s="145"/>
      <c r="U379" s="145"/>
      <c r="V379" s="145"/>
      <c r="W379" s="145"/>
      <c r="X379" s="145"/>
      <c r="Y379" s="145"/>
      <c r="Z379" s="145"/>
    </row>
    <row r="380" spans="1:26" ht="15.75" x14ac:dyDescent="0.25">
      <c r="A380" s="145"/>
      <c r="B380" s="145"/>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5"/>
      <c r="Z380" s="145"/>
    </row>
    <row r="381" spans="1:26" ht="15.75" x14ac:dyDescent="0.25">
      <c r="A381" s="145"/>
      <c r="B381" s="145"/>
      <c r="C381" s="145"/>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5"/>
      <c r="Z381" s="145"/>
    </row>
    <row r="382" spans="1:26" ht="15.75" x14ac:dyDescent="0.25">
      <c r="A382" s="145"/>
      <c r="B382" s="145"/>
      <c r="C382" s="145"/>
      <c r="D382" s="145"/>
      <c r="E382" s="145"/>
      <c r="F382" s="145"/>
      <c r="G382" s="145"/>
      <c r="H382" s="145"/>
      <c r="I382" s="145"/>
      <c r="J382" s="145"/>
      <c r="K382" s="145"/>
      <c r="L382" s="145"/>
      <c r="M382" s="145"/>
      <c r="N382" s="145"/>
      <c r="O382" s="145"/>
      <c r="P382" s="145"/>
      <c r="Q382" s="145"/>
      <c r="R382" s="145"/>
      <c r="S382" s="145"/>
      <c r="T382" s="145"/>
      <c r="U382" s="145"/>
      <c r="V382" s="145"/>
      <c r="W382" s="145"/>
      <c r="X382" s="145"/>
      <c r="Y382" s="145"/>
      <c r="Z382" s="145"/>
    </row>
    <row r="383" spans="1:26" ht="15.75" x14ac:dyDescent="0.25">
      <c r="A383" s="145"/>
      <c r="B383" s="145"/>
      <c r="C383" s="145"/>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5"/>
    </row>
    <row r="384" spans="1:26" ht="15.75" x14ac:dyDescent="0.25">
      <c r="A384" s="145"/>
      <c r="B384" s="145"/>
      <c r="C384" s="145"/>
      <c r="D384" s="145"/>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row>
    <row r="385" spans="1:26" ht="15.75" x14ac:dyDescent="0.25">
      <c r="A385" s="145"/>
      <c r="B385" s="145"/>
      <c r="C385" s="145"/>
      <c r="D385" s="145"/>
      <c r="E385" s="145"/>
      <c r="F385" s="145"/>
      <c r="G385" s="145"/>
      <c r="H385" s="145"/>
      <c r="I385" s="145"/>
      <c r="J385" s="145"/>
      <c r="K385" s="145"/>
      <c r="L385" s="145"/>
      <c r="M385" s="145"/>
      <c r="N385" s="145"/>
      <c r="O385" s="145"/>
      <c r="P385" s="145"/>
      <c r="Q385" s="145"/>
      <c r="R385" s="145"/>
      <c r="S385" s="145"/>
      <c r="T385" s="145"/>
      <c r="U385" s="145"/>
      <c r="V385" s="145"/>
      <c r="W385" s="145"/>
      <c r="X385" s="145"/>
      <c r="Y385" s="145"/>
      <c r="Z385" s="145"/>
    </row>
    <row r="386" spans="1:26" ht="15.75" x14ac:dyDescent="0.25">
      <c r="A386" s="145"/>
      <c r="B386" s="145"/>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145"/>
      <c r="Y386" s="145"/>
      <c r="Z386" s="145"/>
    </row>
    <row r="387" spans="1:26" ht="15.75" x14ac:dyDescent="0.25">
      <c r="A387" s="145"/>
      <c r="B387" s="145"/>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5"/>
      <c r="Z387" s="145"/>
    </row>
    <row r="388" spans="1:26" ht="15.75" x14ac:dyDescent="0.25">
      <c r="A388" s="145"/>
      <c r="B388" s="145"/>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row>
    <row r="389" spans="1:26" ht="15.75" x14ac:dyDescent="0.25">
      <c r="A389" s="145"/>
      <c r="B389" s="145"/>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row>
    <row r="390" spans="1:26" ht="15.75" x14ac:dyDescent="0.25">
      <c r="A390" s="145"/>
      <c r="B390" s="145"/>
      <c r="C390" s="145"/>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row>
    <row r="391" spans="1:26" ht="15.75" x14ac:dyDescent="0.25">
      <c r="A391" s="145"/>
      <c r="B391" s="145"/>
      <c r="C391" s="145"/>
      <c r="D391" s="145"/>
      <c r="E391" s="145"/>
      <c r="F391" s="145"/>
      <c r="G391" s="145"/>
      <c r="H391" s="145"/>
      <c r="I391" s="145"/>
      <c r="J391" s="145"/>
      <c r="K391" s="145"/>
      <c r="L391" s="145"/>
      <c r="M391" s="145"/>
      <c r="N391" s="145"/>
      <c r="O391" s="145"/>
      <c r="P391" s="145"/>
      <c r="Q391" s="145"/>
      <c r="R391" s="145"/>
      <c r="S391" s="145"/>
      <c r="T391" s="145"/>
      <c r="U391" s="145"/>
      <c r="V391" s="145"/>
      <c r="W391" s="145"/>
      <c r="X391" s="145"/>
      <c r="Y391" s="145"/>
      <c r="Z391" s="145"/>
    </row>
    <row r="392" spans="1:26" ht="15.75" x14ac:dyDescent="0.25">
      <c r="A392" s="145"/>
      <c r="B392" s="145"/>
      <c r="C392" s="145"/>
      <c r="D392" s="145"/>
      <c r="E392" s="145"/>
      <c r="F392" s="145"/>
      <c r="G392" s="145"/>
      <c r="H392" s="145"/>
      <c r="I392" s="145"/>
      <c r="J392" s="145"/>
      <c r="K392" s="145"/>
      <c r="L392" s="145"/>
      <c r="M392" s="145"/>
      <c r="N392" s="145"/>
      <c r="O392" s="145"/>
      <c r="P392" s="145"/>
      <c r="Q392" s="145"/>
      <c r="R392" s="145"/>
      <c r="S392" s="145"/>
      <c r="T392" s="145"/>
      <c r="U392" s="145"/>
      <c r="V392" s="145"/>
      <c r="W392" s="145"/>
      <c r="X392" s="145"/>
      <c r="Y392" s="145"/>
      <c r="Z392" s="145"/>
    </row>
    <row r="393" spans="1:26" ht="15.75" x14ac:dyDescent="0.25">
      <c r="A393" s="145"/>
      <c r="B393" s="145"/>
      <c r="C393" s="145"/>
      <c r="D393" s="145"/>
      <c r="E393" s="145"/>
      <c r="F393" s="145"/>
      <c r="G393" s="145"/>
      <c r="H393" s="145"/>
      <c r="I393" s="145"/>
      <c r="J393" s="145"/>
      <c r="K393" s="145"/>
      <c r="L393" s="145"/>
      <c r="M393" s="145"/>
      <c r="N393" s="145"/>
      <c r="O393" s="145"/>
      <c r="P393" s="145"/>
      <c r="Q393" s="145"/>
      <c r="R393" s="145"/>
      <c r="S393" s="145"/>
      <c r="T393" s="145"/>
      <c r="U393" s="145"/>
      <c r="V393" s="145"/>
      <c r="W393" s="145"/>
      <c r="X393" s="145"/>
      <c r="Y393" s="145"/>
      <c r="Z393" s="145"/>
    </row>
    <row r="394" spans="1:26" ht="15.75" x14ac:dyDescent="0.25">
      <c r="A394" s="145"/>
      <c r="B394" s="145"/>
      <c r="C394" s="145"/>
      <c r="D394" s="145"/>
      <c r="E394" s="145"/>
      <c r="F394" s="145"/>
      <c r="G394" s="145"/>
      <c r="H394" s="145"/>
      <c r="I394" s="145"/>
      <c r="J394" s="145"/>
      <c r="K394" s="145"/>
      <c r="L394" s="145"/>
      <c r="M394" s="145"/>
      <c r="N394" s="145"/>
      <c r="O394" s="145"/>
      <c r="P394" s="145"/>
      <c r="Q394" s="145"/>
      <c r="R394" s="145"/>
      <c r="S394" s="145"/>
      <c r="T394" s="145"/>
      <c r="U394" s="145"/>
      <c r="V394" s="145"/>
      <c r="W394" s="145"/>
      <c r="X394" s="145"/>
      <c r="Y394" s="145"/>
      <c r="Z394" s="145"/>
    </row>
    <row r="395" spans="1:26" ht="15.75" x14ac:dyDescent="0.25">
      <c r="A395" s="145"/>
      <c r="B395" s="145"/>
      <c r="C395" s="145"/>
      <c r="D395" s="145"/>
      <c r="E395" s="145"/>
      <c r="F395" s="145"/>
      <c r="G395" s="145"/>
      <c r="H395" s="145"/>
      <c r="I395" s="145"/>
      <c r="J395" s="145"/>
      <c r="K395" s="145"/>
      <c r="L395" s="145"/>
      <c r="M395" s="145"/>
      <c r="N395" s="145"/>
      <c r="O395" s="145"/>
      <c r="P395" s="145"/>
      <c r="Q395" s="145"/>
      <c r="R395" s="145"/>
      <c r="S395" s="145"/>
      <c r="T395" s="145"/>
      <c r="U395" s="145"/>
      <c r="V395" s="145"/>
      <c r="W395" s="145"/>
      <c r="X395" s="145"/>
      <c r="Y395" s="145"/>
      <c r="Z395" s="145"/>
    </row>
    <row r="396" spans="1:26" ht="15.75" x14ac:dyDescent="0.25">
      <c r="A396" s="145"/>
      <c r="B396" s="145"/>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145"/>
      <c r="Z396" s="145"/>
    </row>
    <row r="397" spans="1:26" ht="15.75" x14ac:dyDescent="0.25">
      <c r="A397" s="145"/>
      <c r="B397" s="145"/>
      <c r="C397" s="145"/>
      <c r="D397" s="145"/>
      <c r="E397" s="145"/>
      <c r="F397" s="145"/>
      <c r="G397" s="145"/>
      <c r="H397" s="145"/>
      <c r="I397" s="145"/>
      <c r="J397" s="145"/>
      <c r="K397" s="145"/>
      <c r="L397" s="145"/>
      <c r="M397" s="145"/>
      <c r="N397" s="145"/>
      <c r="O397" s="145"/>
      <c r="P397" s="145"/>
      <c r="Q397" s="145"/>
      <c r="R397" s="145"/>
      <c r="S397" s="145"/>
      <c r="T397" s="145"/>
      <c r="U397" s="145"/>
      <c r="V397" s="145"/>
      <c r="W397" s="145"/>
      <c r="X397" s="145"/>
      <c r="Y397" s="145"/>
      <c r="Z397" s="145"/>
    </row>
    <row r="398" spans="1:26" ht="15.75" x14ac:dyDescent="0.25">
      <c r="A398" s="145"/>
      <c r="B398" s="145"/>
      <c r="C398" s="145"/>
      <c r="D398" s="145"/>
      <c r="E398" s="145"/>
      <c r="F398" s="145"/>
      <c r="G398" s="145"/>
      <c r="H398" s="145"/>
      <c r="I398" s="145"/>
      <c r="J398" s="145"/>
      <c r="K398" s="145"/>
      <c r="L398" s="145"/>
      <c r="M398" s="145"/>
      <c r="N398" s="145"/>
      <c r="O398" s="145"/>
      <c r="P398" s="145"/>
      <c r="Q398" s="145"/>
      <c r="R398" s="145"/>
      <c r="S398" s="145"/>
      <c r="T398" s="145"/>
      <c r="U398" s="145"/>
      <c r="V398" s="145"/>
      <c r="W398" s="145"/>
      <c r="X398" s="145"/>
      <c r="Y398" s="145"/>
      <c r="Z398" s="145"/>
    </row>
    <row r="399" spans="1:26" ht="15.75" x14ac:dyDescent="0.25">
      <c r="A399" s="145"/>
      <c r="B399" s="145"/>
      <c r="C399" s="145"/>
      <c r="D399" s="145"/>
      <c r="E399" s="145"/>
      <c r="F399" s="145"/>
      <c r="G399" s="145"/>
      <c r="H399" s="145"/>
      <c r="I399" s="145"/>
      <c r="J399" s="145"/>
      <c r="K399" s="145"/>
      <c r="L399" s="145"/>
      <c r="M399" s="145"/>
      <c r="N399" s="145"/>
      <c r="O399" s="145"/>
      <c r="P399" s="145"/>
      <c r="Q399" s="145"/>
      <c r="R399" s="145"/>
      <c r="S399" s="145"/>
      <c r="T399" s="145"/>
      <c r="U399" s="145"/>
      <c r="V399" s="145"/>
      <c r="W399" s="145"/>
      <c r="X399" s="145"/>
      <c r="Y399" s="145"/>
      <c r="Z399" s="145"/>
    </row>
    <row r="400" spans="1:26" ht="15.75" x14ac:dyDescent="0.25">
      <c r="A400" s="145"/>
      <c r="B400" s="145"/>
      <c r="C400" s="145"/>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145"/>
      <c r="Z400" s="145"/>
    </row>
    <row r="401" spans="1:26" ht="15.75" x14ac:dyDescent="0.25">
      <c r="A401" s="145"/>
      <c r="B401" s="145"/>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5"/>
      <c r="Z401" s="145"/>
    </row>
    <row r="402" spans="1:26" ht="15.75" x14ac:dyDescent="0.25">
      <c r="A402" s="145"/>
      <c r="B402" s="145"/>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5"/>
      <c r="Z402" s="145"/>
    </row>
    <row r="403" spans="1:26" ht="15.75" x14ac:dyDescent="0.25">
      <c r="A403" s="145"/>
      <c r="B403" s="145"/>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5"/>
      <c r="Z403" s="145"/>
    </row>
    <row r="404" spans="1:26" ht="15.75" x14ac:dyDescent="0.25">
      <c r="A404" s="145"/>
      <c r="B404" s="145"/>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5"/>
      <c r="Z404" s="145"/>
    </row>
    <row r="405" spans="1:26" ht="15.75" x14ac:dyDescent="0.25">
      <c r="A405" s="145"/>
      <c r="B405" s="145"/>
      <c r="C405" s="145"/>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5"/>
      <c r="Z405" s="145"/>
    </row>
    <row r="406" spans="1:26" ht="15.75" x14ac:dyDescent="0.25">
      <c r="A406" s="145"/>
      <c r="B406" s="145"/>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5"/>
      <c r="Z406" s="145"/>
    </row>
    <row r="407" spans="1:26" ht="15.75" x14ac:dyDescent="0.25">
      <c r="A407" s="145"/>
      <c r="B407" s="145"/>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row>
    <row r="408" spans="1:26" ht="15.75" x14ac:dyDescent="0.25">
      <c r="A408" s="145"/>
      <c r="B408" s="145"/>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5"/>
      <c r="Z408" s="145"/>
    </row>
    <row r="409" spans="1:26" ht="15.75" x14ac:dyDescent="0.25">
      <c r="A409" s="145"/>
      <c r="B409" s="145"/>
      <c r="C409" s="145"/>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5"/>
      <c r="Z409" s="145"/>
    </row>
    <row r="410" spans="1:26" ht="15.75" x14ac:dyDescent="0.25">
      <c r="A410" s="145"/>
      <c r="B410" s="145"/>
      <c r="C410" s="145"/>
      <c r="D410" s="145"/>
      <c r="E410" s="145"/>
      <c r="F410" s="145"/>
      <c r="G410" s="145"/>
      <c r="H410" s="145"/>
      <c r="I410" s="145"/>
      <c r="J410" s="145"/>
      <c r="K410" s="145"/>
      <c r="L410" s="145"/>
      <c r="M410" s="145"/>
      <c r="N410" s="145"/>
      <c r="O410" s="145"/>
      <c r="P410" s="145"/>
      <c r="Q410" s="145"/>
      <c r="R410" s="145"/>
      <c r="S410" s="145"/>
      <c r="T410" s="145"/>
      <c r="U410" s="145"/>
      <c r="V410" s="145"/>
      <c r="W410" s="145"/>
      <c r="X410" s="145"/>
      <c r="Y410" s="145"/>
      <c r="Z410" s="145"/>
    </row>
    <row r="411" spans="1:26" ht="15.75" x14ac:dyDescent="0.25">
      <c r="A411" s="145"/>
      <c r="B411" s="145"/>
      <c r="C411" s="145"/>
      <c r="D411" s="145"/>
      <c r="E411" s="145"/>
      <c r="F411" s="145"/>
      <c r="G411" s="145"/>
      <c r="H411" s="145"/>
      <c r="I411" s="145"/>
      <c r="J411" s="145"/>
      <c r="K411" s="145"/>
      <c r="L411" s="145"/>
      <c r="M411" s="145"/>
      <c r="N411" s="145"/>
      <c r="O411" s="145"/>
      <c r="P411" s="145"/>
      <c r="Q411" s="145"/>
      <c r="R411" s="145"/>
      <c r="S411" s="145"/>
      <c r="T411" s="145"/>
      <c r="U411" s="145"/>
      <c r="V411" s="145"/>
      <c r="W411" s="145"/>
      <c r="X411" s="145"/>
      <c r="Y411" s="145"/>
      <c r="Z411" s="145"/>
    </row>
    <row r="412" spans="1:26" ht="15.75" x14ac:dyDescent="0.25">
      <c r="A412" s="145"/>
      <c r="B412" s="145"/>
      <c r="C412" s="145"/>
      <c r="D412" s="145"/>
      <c r="E412" s="145"/>
      <c r="F412" s="145"/>
      <c r="G412" s="145"/>
      <c r="H412" s="145"/>
      <c r="I412" s="145"/>
      <c r="J412" s="145"/>
      <c r="K412" s="145"/>
      <c r="L412" s="145"/>
      <c r="M412" s="145"/>
      <c r="N412" s="145"/>
      <c r="O412" s="145"/>
      <c r="P412" s="145"/>
      <c r="Q412" s="145"/>
      <c r="R412" s="145"/>
      <c r="S412" s="145"/>
      <c r="T412" s="145"/>
      <c r="U412" s="145"/>
      <c r="V412" s="145"/>
      <c r="W412" s="145"/>
      <c r="X412" s="145"/>
      <c r="Y412" s="145"/>
      <c r="Z412" s="145"/>
    </row>
    <row r="413" spans="1:26" ht="15.75" x14ac:dyDescent="0.25">
      <c r="A413" s="145"/>
      <c r="B413" s="145"/>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5"/>
      <c r="Z413" s="145"/>
    </row>
    <row r="414" spans="1:26" ht="15.75" x14ac:dyDescent="0.25">
      <c r="A414" s="145"/>
      <c r="B414" s="145"/>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row>
    <row r="415" spans="1:26" ht="15.75" x14ac:dyDescent="0.25">
      <c r="A415" s="145"/>
      <c r="B415" s="145"/>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5"/>
      <c r="Z415" s="145"/>
    </row>
    <row r="416" spans="1:26" ht="15.75" x14ac:dyDescent="0.25">
      <c r="A416" s="145"/>
      <c r="B416" s="145"/>
      <c r="C416" s="145"/>
      <c r="D416" s="145"/>
      <c r="E416" s="145"/>
      <c r="F416" s="145"/>
      <c r="G416" s="145"/>
      <c r="H416" s="145"/>
      <c r="I416" s="145"/>
      <c r="J416" s="145"/>
      <c r="K416" s="145"/>
      <c r="L416" s="145"/>
      <c r="M416" s="145"/>
      <c r="N416" s="145"/>
      <c r="O416" s="145"/>
      <c r="P416" s="145"/>
      <c r="Q416" s="145"/>
      <c r="R416" s="145"/>
      <c r="S416" s="145"/>
      <c r="T416" s="145"/>
      <c r="U416" s="145"/>
      <c r="V416" s="145"/>
      <c r="W416" s="145"/>
      <c r="X416" s="145"/>
      <c r="Y416" s="145"/>
      <c r="Z416" s="145"/>
    </row>
    <row r="417" spans="1:26" ht="15.75" x14ac:dyDescent="0.25">
      <c r="A417" s="145"/>
      <c r="B417" s="145"/>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5"/>
      <c r="Z417" s="145"/>
    </row>
    <row r="418" spans="1:26" ht="15.75" x14ac:dyDescent="0.25">
      <c r="A418" s="145"/>
      <c r="B418" s="145"/>
      <c r="C418" s="145"/>
      <c r="D418" s="145"/>
      <c r="E418" s="145"/>
      <c r="F418" s="145"/>
      <c r="G418" s="145"/>
      <c r="H418" s="145"/>
      <c r="I418" s="145"/>
      <c r="J418" s="145"/>
      <c r="K418" s="145"/>
      <c r="L418" s="145"/>
      <c r="M418" s="145"/>
      <c r="N418" s="145"/>
      <c r="O418" s="145"/>
      <c r="P418" s="145"/>
      <c r="Q418" s="145"/>
      <c r="R418" s="145"/>
      <c r="S418" s="145"/>
      <c r="T418" s="145"/>
      <c r="U418" s="145"/>
      <c r="V418" s="145"/>
      <c r="W418" s="145"/>
      <c r="X418" s="145"/>
      <c r="Y418" s="145"/>
      <c r="Z418" s="145"/>
    </row>
    <row r="419" spans="1:26" ht="15.75" x14ac:dyDescent="0.25">
      <c r="A419" s="145"/>
      <c r="B419" s="145"/>
      <c r="C419" s="145"/>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5"/>
      <c r="Z419" s="145"/>
    </row>
    <row r="420" spans="1:26" ht="15.75" x14ac:dyDescent="0.25">
      <c r="A420" s="145"/>
      <c r="B420" s="145"/>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5"/>
      <c r="Z420" s="145"/>
    </row>
    <row r="421" spans="1:26" ht="15.75" x14ac:dyDescent="0.25">
      <c r="A421" s="145"/>
      <c r="B421" s="145"/>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5"/>
      <c r="Z421" s="145"/>
    </row>
    <row r="422" spans="1:26" ht="15.75" x14ac:dyDescent="0.25">
      <c r="A422" s="145"/>
      <c r="B422" s="145"/>
      <c r="C422" s="145"/>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5"/>
      <c r="Z422" s="145"/>
    </row>
    <row r="423" spans="1:26" ht="15.75" x14ac:dyDescent="0.25">
      <c r="A423" s="145"/>
      <c r="B423" s="145"/>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5"/>
      <c r="Z423" s="145"/>
    </row>
    <row r="424" spans="1:26" ht="15.75" x14ac:dyDescent="0.25">
      <c r="A424" s="145"/>
      <c r="B424" s="145"/>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45"/>
      <c r="Z424" s="145"/>
    </row>
    <row r="425" spans="1:26" ht="15.75" x14ac:dyDescent="0.25">
      <c r="A425" s="145"/>
      <c r="B425" s="145"/>
      <c r="C425" s="145"/>
      <c r="D425" s="145"/>
      <c r="E425" s="145"/>
      <c r="F425" s="145"/>
      <c r="G425" s="145"/>
      <c r="H425" s="145"/>
      <c r="I425" s="145"/>
      <c r="J425" s="145"/>
      <c r="K425" s="145"/>
      <c r="L425" s="145"/>
      <c r="M425" s="145"/>
      <c r="N425" s="145"/>
      <c r="O425" s="145"/>
      <c r="P425" s="145"/>
      <c r="Q425" s="145"/>
      <c r="R425" s="145"/>
      <c r="S425" s="145"/>
      <c r="T425" s="145"/>
      <c r="U425" s="145"/>
      <c r="V425" s="145"/>
      <c r="W425" s="145"/>
      <c r="X425" s="145"/>
      <c r="Y425" s="145"/>
      <c r="Z425" s="145"/>
    </row>
    <row r="426" spans="1:26" ht="15.75" x14ac:dyDescent="0.25">
      <c r="A426" s="145"/>
      <c r="B426" s="145"/>
      <c r="C426" s="145"/>
      <c r="D426" s="145"/>
      <c r="E426" s="145"/>
      <c r="F426" s="145"/>
      <c r="G426" s="145"/>
      <c r="H426" s="145"/>
      <c r="I426" s="145"/>
      <c r="J426" s="145"/>
      <c r="K426" s="145"/>
      <c r="L426" s="145"/>
      <c r="M426" s="145"/>
      <c r="N426" s="145"/>
      <c r="O426" s="145"/>
      <c r="P426" s="145"/>
      <c r="Q426" s="145"/>
      <c r="R426" s="145"/>
      <c r="S426" s="145"/>
      <c r="T426" s="145"/>
      <c r="U426" s="145"/>
      <c r="V426" s="145"/>
      <c r="W426" s="145"/>
      <c r="X426" s="145"/>
      <c r="Y426" s="145"/>
      <c r="Z426" s="145"/>
    </row>
    <row r="427" spans="1:26" ht="15.75" x14ac:dyDescent="0.25">
      <c r="A427" s="145"/>
      <c r="B427" s="145"/>
      <c r="C427" s="145"/>
      <c r="D427" s="145"/>
      <c r="E427" s="145"/>
      <c r="F427" s="145"/>
      <c r="G427" s="145"/>
      <c r="H427" s="145"/>
      <c r="I427" s="145"/>
      <c r="J427" s="145"/>
      <c r="K427" s="145"/>
      <c r="L427" s="145"/>
      <c r="M427" s="145"/>
      <c r="N427" s="145"/>
      <c r="O427" s="145"/>
      <c r="P427" s="145"/>
      <c r="Q427" s="145"/>
      <c r="R427" s="145"/>
      <c r="S427" s="145"/>
      <c r="T427" s="145"/>
      <c r="U427" s="145"/>
      <c r="V427" s="145"/>
      <c r="W427" s="145"/>
      <c r="X427" s="145"/>
      <c r="Y427" s="145"/>
      <c r="Z427" s="145"/>
    </row>
    <row r="428" spans="1:26" ht="15.75" x14ac:dyDescent="0.25">
      <c r="A428" s="145"/>
      <c r="B428" s="145"/>
      <c r="C428" s="145"/>
      <c r="D428" s="145"/>
      <c r="E428" s="145"/>
      <c r="F428" s="145"/>
      <c r="G428" s="145"/>
      <c r="H428" s="145"/>
      <c r="I428" s="145"/>
      <c r="J428" s="145"/>
      <c r="K428" s="145"/>
      <c r="L428" s="145"/>
      <c r="M428" s="145"/>
      <c r="N428" s="145"/>
      <c r="O428" s="145"/>
      <c r="P428" s="145"/>
      <c r="Q428" s="145"/>
      <c r="R428" s="145"/>
      <c r="S428" s="145"/>
      <c r="T428" s="145"/>
      <c r="U428" s="145"/>
      <c r="V428" s="145"/>
      <c r="W428" s="145"/>
      <c r="X428" s="145"/>
      <c r="Y428" s="145"/>
      <c r="Z428" s="145"/>
    </row>
    <row r="429" spans="1:26" ht="15.75" x14ac:dyDescent="0.25">
      <c r="A429" s="145"/>
      <c r="B429" s="145"/>
      <c r="C429" s="145"/>
      <c r="D429" s="145"/>
      <c r="E429" s="145"/>
      <c r="F429" s="145"/>
      <c r="G429" s="145"/>
      <c r="H429" s="145"/>
      <c r="I429" s="145"/>
      <c r="J429" s="145"/>
      <c r="K429" s="145"/>
      <c r="L429" s="145"/>
      <c r="M429" s="145"/>
      <c r="N429" s="145"/>
      <c r="O429" s="145"/>
      <c r="P429" s="145"/>
      <c r="Q429" s="145"/>
      <c r="R429" s="145"/>
      <c r="S429" s="145"/>
      <c r="T429" s="145"/>
      <c r="U429" s="145"/>
      <c r="V429" s="145"/>
      <c r="W429" s="145"/>
      <c r="X429" s="145"/>
      <c r="Y429" s="145"/>
      <c r="Z429" s="145"/>
    </row>
    <row r="430" spans="1:26" ht="15.75" x14ac:dyDescent="0.25">
      <c r="A430" s="145"/>
      <c r="B430" s="145"/>
      <c r="C430" s="145"/>
      <c r="D430" s="145"/>
      <c r="E430" s="145"/>
      <c r="F430" s="145"/>
      <c r="G430" s="145"/>
      <c r="H430" s="145"/>
      <c r="I430" s="145"/>
      <c r="J430" s="145"/>
      <c r="K430" s="145"/>
      <c r="L430" s="145"/>
      <c r="M430" s="145"/>
      <c r="N430" s="145"/>
      <c r="O430" s="145"/>
      <c r="P430" s="145"/>
      <c r="Q430" s="145"/>
      <c r="R430" s="145"/>
      <c r="S430" s="145"/>
      <c r="T430" s="145"/>
      <c r="U430" s="145"/>
      <c r="V430" s="145"/>
      <c r="W430" s="145"/>
      <c r="X430" s="145"/>
      <c r="Y430" s="145"/>
      <c r="Z430" s="145"/>
    </row>
    <row r="431" spans="1:26" ht="15.75" x14ac:dyDescent="0.25">
      <c r="A431" s="145"/>
      <c r="B431" s="145"/>
      <c r="C431" s="145"/>
      <c r="D431" s="145"/>
      <c r="E431" s="145"/>
      <c r="F431" s="145"/>
      <c r="G431" s="145"/>
      <c r="H431" s="145"/>
      <c r="I431" s="145"/>
      <c r="J431" s="145"/>
      <c r="K431" s="145"/>
      <c r="L431" s="145"/>
      <c r="M431" s="145"/>
      <c r="N431" s="145"/>
      <c r="O431" s="145"/>
      <c r="P431" s="145"/>
      <c r="Q431" s="145"/>
      <c r="R431" s="145"/>
      <c r="S431" s="145"/>
      <c r="T431" s="145"/>
      <c r="U431" s="145"/>
      <c r="V431" s="145"/>
      <c r="W431" s="145"/>
      <c r="X431" s="145"/>
      <c r="Y431" s="145"/>
      <c r="Z431" s="145"/>
    </row>
    <row r="432" spans="1:26" ht="15.75" x14ac:dyDescent="0.25">
      <c r="A432" s="145"/>
      <c r="B432" s="145"/>
      <c r="C432" s="145"/>
      <c r="D432" s="145"/>
      <c r="E432" s="145"/>
      <c r="F432" s="145"/>
      <c r="G432" s="145"/>
      <c r="H432" s="145"/>
      <c r="I432" s="145"/>
      <c r="J432" s="145"/>
      <c r="K432" s="145"/>
      <c r="L432" s="145"/>
      <c r="M432" s="145"/>
      <c r="N432" s="145"/>
      <c r="O432" s="145"/>
      <c r="P432" s="145"/>
      <c r="Q432" s="145"/>
      <c r="R432" s="145"/>
      <c r="S432" s="145"/>
      <c r="T432" s="145"/>
      <c r="U432" s="145"/>
      <c r="V432" s="145"/>
      <c r="W432" s="145"/>
      <c r="X432" s="145"/>
      <c r="Y432" s="145"/>
      <c r="Z432" s="145"/>
    </row>
    <row r="433" spans="1:26" ht="15.75" x14ac:dyDescent="0.25">
      <c r="A433" s="145"/>
      <c r="B433" s="145"/>
      <c r="C433" s="145"/>
      <c r="D433" s="145"/>
      <c r="E433" s="145"/>
      <c r="F433" s="145"/>
      <c r="G433" s="145"/>
      <c r="H433" s="145"/>
      <c r="I433" s="145"/>
      <c r="J433" s="145"/>
      <c r="K433" s="145"/>
      <c r="L433" s="145"/>
      <c r="M433" s="145"/>
      <c r="N433" s="145"/>
      <c r="O433" s="145"/>
      <c r="P433" s="145"/>
      <c r="Q433" s="145"/>
      <c r="R433" s="145"/>
      <c r="S433" s="145"/>
      <c r="T433" s="145"/>
      <c r="U433" s="145"/>
      <c r="V433" s="145"/>
      <c r="W433" s="145"/>
      <c r="X433" s="145"/>
      <c r="Y433" s="145"/>
      <c r="Z433" s="145"/>
    </row>
    <row r="434" spans="1:26" ht="15.75" x14ac:dyDescent="0.25">
      <c r="A434" s="145"/>
      <c r="B434" s="145"/>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5"/>
      <c r="Z434" s="145"/>
    </row>
    <row r="435" spans="1:26" ht="15.75" x14ac:dyDescent="0.25">
      <c r="A435" s="145"/>
      <c r="B435" s="145"/>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row>
    <row r="436" spans="1:26" ht="15.75" x14ac:dyDescent="0.25">
      <c r="A436" s="145"/>
      <c r="B436" s="145"/>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5"/>
      <c r="Z436" s="145"/>
    </row>
    <row r="437" spans="1:26" ht="15.75" x14ac:dyDescent="0.25">
      <c r="A437" s="145"/>
      <c r="B437" s="145"/>
      <c r="C437" s="145"/>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5"/>
      <c r="Z437" s="145"/>
    </row>
    <row r="438" spans="1:26" ht="15.75" x14ac:dyDescent="0.25">
      <c r="A438" s="145"/>
      <c r="B438" s="145"/>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row>
    <row r="439" spans="1:26" ht="15.75" x14ac:dyDescent="0.25">
      <c r="A439" s="145"/>
      <c r="B439" s="145"/>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row>
    <row r="440" spans="1:26" ht="15.75" x14ac:dyDescent="0.25">
      <c r="A440" s="145"/>
      <c r="B440" s="145"/>
      <c r="C440" s="145"/>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5"/>
      <c r="Z440" s="145"/>
    </row>
    <row r="441" spans="1:26" ht="15.75" x14ac:dyDescent="0.25">
      <c r="A441" s="145"/>
      <c r="B441" s="145"/>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5"/>
      <c r="Z441" s="145"/>
    </row>
    <row r="442" spans="1:26" ht="15.75" x14ac:dyDescent="0.25">
      <c r="A442" s="145"/>
      <c r="B442" s="145"/>
      <c r="C442" s="145"/>
      <c r="D442" s="145"/>
      <c r="E442" s="145"/>
      <c r="F442" s="145"/>
      <c r="G442" s="145"/>
      <c r="H442" s="145"/>
      <c r="I442" s="145"/>
      <c r="J442" s="145"/>
      <c r="K442" s="145"/>
      <c r="L442" s="145"/>
      <c r="M442" s="145"/>
      <c r="N442" s="145"/>
      <c r="O442" s="145"/>
      <c r="P442" s="145"/>
      <c r="Q442" s="145"/>
      <c r="R442" s="145"/>
      <c r="S442" s="145"/>
      <c r="T442" s="145"/>
      <c r="U442" s="145"/>
      <c r="V442" s="145"/>
      <c r="W442" s="145"/>
      <c r="X442" s="145"/>
      <c r="Y442" s="145"/>
      <c r="Z442" s="145"/>
    </row>
    <row r="443" spans="1:26" ht="15.75" x14ac:dyDescent="0.25">
      <c r="A443" s="145"/>
      <c r="B443" s="145"/>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5"/>
      <c r="Z443" s="145"/>
    </row>
    <row r="444" spans="1:26" ht="15.75" x14ac:dyDescent="0.25">
      <c r="A444" s="145"/>
      <c r="B444" s="145"/>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45"/>
      <c r="Z444" s="145"/>
    </row>
    <row r="445" spans="1:26" ht="15.75" x14ac:dyDescent="0.25">
      <c r="A445" s="145"/>
      <c r="B445" s="145"/>
      <c r="C445" s="145"/>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5"/>
      <c r="Z445" s="145"/>
    </row>
    <row r="446" spans="1:26" ht="15.75" x14ac:dyDescent="0.25">
      <c r="A446" s="145"/>
      <c r="B446" s="145"/>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5"/>
      <c r="Z446" s="145"/>
    </row>
    <row r="447" spans="1:26" ht="15.75" x14ac:dyDescent="0.25">
      <c r="A447" s="145"/>
      <c r="B447" s="145"/>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5"/>
      <c r="Z447" s="145"/>
    </row>
    <row r="448" spans="1:26" ht="15.75" x14ac:dyDescent="0.25">
      <c r="A448" s="145"/>
      <c r="B448" s="145"/>
      <c r="C448" s="145"/>
      <c r="D448" s="145"/>
      <c r="E448" s="145"/>
      <c r="F448" s="145"/>
      <c r="G448" s="145"/>
      <c r="H448" s="145"/>
      <c r="I448" s="145"/>
      <c r="J448" s="145"/>
      <c r="K448" s="145"/>
      <c r="L448" s="145"/>
      <c r="M448" s="145"/>
      <c r="N448" s="145"/>
      <c r="O448" s="145"/>
      <c r="P448" s="145"/>
      <c r="Q448" s="145"/>
      <c r="R448" s="145"/>
      <c r="S448" s="145"/>
      <c r="T448" s="145"/>
      <c r="U448" s="145"/>
      <c r="V448" s="145"/>
      <c r="W448" s="145"/>
      <c r="X448" s="145"/>
      <c r="Y448" s="145"/>
      <c r="Z448" s="145"/>
    </row>
    <row r="449" spans="1:26" ht="15.75" x14ac:dyDescent="0.25">
      <c r="A449" s="145"/>
      <c r="B449" s="145"/>
      <c r="C449" s="145"/>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5"/>
      <c r="Z449" s="145"/>
    </row>
    <row r="450" spans="1:26" ht="15.75" x14ac:dyDescent="0.25">
      <c r="A450" s="145"/>
      <c r="B450" s="145"/>
      <c r="C450" s="145"/>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5"/>
      <c r="Z450" s="145"/>
    </row>
    <row r="451" spans="1:26" ht="15.75" x14ac:dyDescent="0.25">
      <c r="A451" s="145"/>
      <c r="B451" s="145"/>
      <c r="C451" s="145"/>
      <c r="D451" s="145"/>
      <c r="E451" s="145"/>
      <c r="F451" s="145"/>
      <c r="G451" s="145"/>
      <c r="H451" s="145"/>
      <c r="I451" s="145"/>
      <c r="J451" s="145"/>
      <c r="K451" s="145"/>
      <c r="L451" s="145"/>
      <c r="M451" s="145"/>
      <c r="N451" s="145"/>
      <c r="O451" s="145"/>
      <c r="P451" s="145"/>
      <c r="Q451" s="145"/>
      <c r="R451" s="145"/>
      <c r="S451" s="145"/>
      <c r="T451" s="145"/>
      <c r="U451" s="145"/>
      <c r="V451" s="145"/>
      <c r="W451" s="145"/>
      <c r="X451" s="145"/>
      <c r="Y451" s="145"/>
      <c r="Z451" s="145"/>
    </row>
    <row r="452" spans="1:26" ht="15.75" x14ac:dyDescent="0.25">
      <c r="A452" s="145"/>
      <c r="B452" s="145"/>
      <c r="C452" s="145"/>
      <c r="D452" s="145"/>
      <c r="E452" s="145"/>
      <c r="F452" s="145"/>
      <c r="G452" s="145"/>
      <c r="H452" s="145"/>
      <c r="I452" s="145"/>
      <c r="J452" s="145"/>
      <c r="K452" s="145"/>
      <c r="L452" s="145"/>
      <c r="M452" s="145"/>
      <c r="N452" s="145"/>
      <c r="O452" s="145"/>
      <c r="P452" s="145"/>
      <c r="Q452" s="145"/>
      <c r="R452" s="145"/>
      <c r="S452" s="145"/>
      <c r="T452" s="145"/>
      <c r="U452" s="145"/>
      <c r="V452" s="145"/>
      <c r="W452" s="145"/>
      <c r="X452" s="145"/>
      <c r="Y452" s="145"/>
      <c r="Z452" s="145"/>
    </row>
    <row r="453" spans="1:26" ht="15.75" x14ac:dyDescent="0.25">
      <c r="A453" s="145"/>
      <c r="B453" s="145"/>
      <c r="C453" s="145"/>
      <c r="D453" s="145"/>
      <c r="E453" s="145"/>
      <c r="F453" s="145"/>
      <c r="G453" s="145"/>
      <c r="H453" s="145"/>
      <c r="I453" s="145"/>
      <c r="J453" s="145"/>
      <c r="K453" s="145"/>
      <c r="L453" s="145"/>
      <c r="M453" s="145"/>
      <c r="N453" s="145"/>
      <c r="O453" s="145"/>
      <c r="P453" s="145"/>
      <c r="Q453" s="145"/>
      <c r="R453" s="145"/>
      <c r="S453" s="145"/>
      <c r="T453" s="145"/>
      <c r="U453" s="145"/>
      <c r="V453" s="145"/>
      <c r="W453" s="145"/>
      <c r="X453" s="145"/>
      <c r="Y453" s="145"/>
      <c r="Z453" s="145"/>
    </row>
    <row r="454" spans="1:26" ht="15.75" x14ac:dyDescent="0.25">
      <c r="A454" s="145"/>
      <c r="B454" s="145"/>
      <c r="C454" s="145"/>
      <c r="D454" s="145"/>
      <c r="E454" s="145"/>
      <c r="F454" s="145"/>
      <c r="G454" s="145"/>
      <c r="H454" s="145"/>
      <c r="I454" s="145"/>
      <c r="J454" s="145"/>
      <c r="K454" s="145"/>
      <c r="L454" s="145"/>
      <c r="M454" s="145"/>
      <c r="N454" s="145"/>
      <c r="O454" s="145"/>
      <c r="P454" s="145"/>
      <c r="Q454" s="145"/>
      <c r="R454" s="145"/>
      <c r="S454" s="145"/>
      <c r="T454" s="145"/>
      <c r="U454" s="145"/>
      <c r="V454" s="145"/>
      <c r="W454" s="145"/>
      <c r="X454" s="145"/>
      <c r="Y454" s="145"/>
      <c r="Z454" s="145"/>
    </row>
    <row r="455" spans="1:26" ht="15.75" x14ac:dyDescent="0.25">
      <c r="A455" s="145"/>
      <c r="B455" s="145"/>
      <c r="C455" s="145"/>
      <c r="D455" s="145"/>
      <c r="E455" s="145"/>
      <c r="F455" s="145"/>
      <c r="G455" s="145"/>
      <c r="H455" s="145"/>
      <c r="I455" s="145"/>
      <c r="J455" s="145"/>
      <c r="K455" s="145"/>
      <c r="L455" s="145"/>
      <c r="M455" s="145"/>
      <c r="N455" s="145"/>
      <c r="O455" s="145"/>
      <c r="P455" s="145"/>
      <c r="Q455" s="145"/>
      <c r="R455" s="145"/>
      <c r="S455" s="145"/>
      <c r="T455" s="145"/>
      <c r="U455" s="145"/>
      <c r="V455" s="145"/>
      <c r="W455" s="145"/>
      <c r="X455" s="145"/>
      <c r="Y455" s="145"/>
      <c r="Z455" s="145"/>
    </row>
    <row r="456" spans="1:26" ht="15.75" x14ac:dyDescent="0.25">
      <c r="A456" s="145"/>
      <c r="B456" s="145"/>
      <c r="C456" s="145"/>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5"/>
      <c r="Z456" s="145"/>
    </row>
    <row r="457" spans="1:26" ht="15.75" x14ac:dyDescent="0.25">
      <c r="A457" s="145"/>
      <c r="B457" s="145"/>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5"/>
      <c r="Z457" s="145"/>
    </row>
    <row r="458" spans="1:26" ht="15.75" x14ac:dyDescent="0.25">
      <c r="A458" s="145"/>
      <c r="B458" s="145"/>
      <c r="C458" s="145"/>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5"/>
      <c r="Z458" s="145"/>
    </row>
    <row r="459" spans="1:26" ht="15.75" x14ac:dyDescent="0.25">
      <c r="A459" s="145"/>
      <c r="B459" s="145"/>
      <c r="C459" s="145"/>
      <c r="D459" s="145"/>
      <c r="E459" s="145"/>
      <c r="F459" s="145"/>
      <c r="G459" s="145"/>
      <c r="H459" s="145"/>
      <c r="I459" s="145"/>
      <c r="J459" s="145"/>
      <c r="K459" s="145"/>
      <c r="L459" s="145"/>
      <c r="M459" s="145"/>
      <c r="N459" s="145"/>
      <c r="O459" s="145"/>
      <c r="P459" s="145"/>
      <c r="Q459" s="145"/>
      <c r="R459" s="145"/>
      <c r="S459" s="145"/>
      <c r="T459" s="145"/>
      <c r="U459" s="145"/>
      <c r="V459" s="145"/>
      <c r="W459" s="145"/>
      <c r="X459" s="145"/>
      <c r="Y459" s="145"/>
      <c r="Z459" s="145"/>
    </row>
    <row r="460" spans="1:26" ht="15.75" x14ac:dyDescent="0.25">
      <c r="A460" s="145"/>
      <c r="B460" s="145"/>
      <c r="C460" s="145"/>
      <c r="D460" s="145"/>
      <c r="E460" s="145"/>
      <c r="F460" s="145"/>
      <c r="G460" s="145"/>
      <c r="H460" s="145"/>
      <c r="I460" s="145"/>
      <c r="J460" s="145"/>
      <c r="K460" s="145"/>
      <c r="L460" s="145"/>
      <c r="M460" s="145"/>
      <c r="N460" s="145"/>
      <c r="O460" s="145"/>
      <c r="P460" s="145"/>
      <c r="Q460" s="145"/>
      <c r="R460" s="145"/>
      <c r="S460" s="145"/>
      <c r="T460" s="145"/>
      <c r="U460" s="145"/>
      <c r="V460" s="145"/>
      <c r="W460" s="145"/>
      <c r="X460" s="145"/>
      <c r="Y460" s="145"/>
      <c r="Z460" s="145"/>
    </row>
    <row r="461" spans="1:26" ht="15.75" x14ac:dyDescent="0.25">
      <c r="A461" s="145"/>
      <c r="B461" s="145"/>
      <c r="C461" s="145"/>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5"/>
      <c r="Z461" s="145"/>
    </row>
    <row r="462" spans="1:26" ht="15.75" x14ac:dyDescent="0.25">
      <c r="A462" s="145"/>
      <c r="B462" s="145"/>
      <c r="C462" s="145"/>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5"/>
      <c r="Z462" s="145"/>
    </row>
    <row r="463" spans="1:26" ht="15.75" x14ac:dyDescent="0.25">
      <c r="A463" s="145"/>
      <c r="B463" s="145"/>
      <c r="C463" s="145"/>
      <c r="D463" s="145"/>
      <c r="E463" s="145"/>
      <c r="F463" s="145"/>
      <c r="G463" s="145"/>
      <c r="H463" s="145"/>
      <c r="I463" s="145"/>
      <c r="J463" s="145"/>
      <c r="K463" s="145"/>
      <c r="L463" s="145"/>
      <c r="M463" s="145"/>
      <c r="N463" s="145"/>
      <c r="O463" s="145"/>
      <c r="P463" s="145"/>
      <c r="Q463" s="145"/>
      <c r="R463" s="145"/>
      <c r="S463" s="145"/>
      <c r="T463" s="145"/>
      <c r="U463" s="145"/>
      <c r="V463" s="145"/>
      <c r="W463" s="145"/>
      <c r="X463" s="145"/>
      <c r="Y463" s="145"/>
      <c r="Z463" s="145"/>
    </row>
    <row r="464" spans="1:26" ht="15.75" x14ac:dyDescent="0.25">
      <c r="A464" s="145"/>
      <c r="B464" s="145"/>
      <c r="C464" s="145"/>
      <c r="D464" s="145"/>
      <c r="E464" s="145"/>
      <c r="F464" s="145"/>
      <c r="G464" s="145"/>
      <c r="H464" s="145"/>
      <c r="I464" s="145"/>
      <c r="J464" s="145"/>
      <c r="K464" s="145"/>
      <c r="L464" s="145"/>
      <c r="M464" s="145"/>
      <c r="N464" s="145"/>
      <c r="O464" s="145"/>
      <c r="P464" s="145"/>
      <c r="Q464" s="145"/>
      <c r="R464" s="145"/>
      <c r="S464" s="145"/>
      <c r="T464" s="145"/>
      <c r="U464" s="145"/>
      <c r="V464" s="145"/>
      <c r="W464" s="145"/>
      <c r="X464" s="145"/>
      <c r="Y464" s="145"/>
      <c r="Z464" s="145"/>
    </row>
    <row r="465" spans="1:26" ht="15.75" x14ac:dyDescent="0.25">
      <c r="A465" s="145"/>
      <c r="B465" s="145"/>
      <c r="C465" s="145"/>
      <c r="D465" s="145"/>
      <c r="E465" s="145"/>
      <c r="F465" s="145"/>
      <c r="G465" s="145"/>
      <c r="H465" s="145"/>
      <c r="I465" s="145"/>
      <c r="J465" s="145"/>
      <c r="K465" s="145"/>
      <c r="L465" s="145"/>
      <c r="M465" s="145"/>
      <c r="N465" s="145"/>
      <c r="O465" s="145"/>
      <c r="P465" s="145"/>
      <c r="Q465" s="145"/>
      <c r="R465" s="145"/>
      <c r="S465" s="145"/>
      <c r="T465" s="145"/>
      <c r="U465" s="145"/>
      <c r="V465" s="145"/>
      <c r="W465" s="145"/>
      <c r="X465" s="145"/>
      <c r="Y465" s="145"/>
      <c r="Z465" s="145"/>
    </row>
    <row r="466" spans="1:26" ht="15.75" x14ac:dyDescent="0.25">
      <c r="A466" s="145"/>
      <c r="B466" s="145"/>
      <c r="C466" s="145"/>
      <c r="D466" s="145"/>
      <c r="E466" s="145"/>
      <c r="F466" s="145"/>
      <c r="G466" s="145"/>
      <c r="H466" s="145"/>
      <c r="I466" s="145"/>
      <c r="J466" s="145"/>
      <c r="K466" s="145"/>
      <c r="L466" s="145"/>
      <c r="M466" s="145"/>
      <c r="N466" s="145"/>
      <c r="O466" s="145"/>
      <c r="P466" s="145"/>
      <c r="Q466" s="145"/>
      <c r="R466" s="145"/>
      <c r="S466" s="145"/>
      <c r="T466" s="145"/>
      <c r="U466" s="145"/>
      <c r="V466" s="145"/>
      <c r="W466" s="145"/>
      <c r="X466" s="145"/>
      <c r="Y466" s="145"/>
      <c r="Z466" s="145"/>
    </row>
    <row r="467" spans="1:26" ht="15.75" x14ac:dyDescent="0.25">
      <c r="A467" s="145"/>
      <c r="B467" s="145"/>
      <c r="C467" s="145"/>
      <c r="D467" s="145"/>
      <c r="E467" s="145"/>
      <c r="F467" s="145"/>
      <c r="G467" s="145"/>
      <c r="H467" s="145"/>
      <c r="I467" s="145"/>
      <c r="J467" s="145"/>
      <c r="K467" s="145"/>
      <c r="L467" s="145"/>
      <c r="M467" s="145"/>
      <c r="N467" s="145"/>
      <c r="O467" s="145"/>
      <c r="P467" s="145"/>
      <c r="Q467" s="145"/>
      <c r="R467" s="145"/>
      <c r="S467" s="145"/>
      <c r="T467" s="145"/>
      <c r="U467" s="145"/>
      <c r="V467" s="145"/>
      <c r="W467" s="145"/>
      <c r="X467" s="145"/>
      <c r="Y467" s="145"/>
      <c r="Z467" s="145"/>
    </row>
    <row r="468" spans="1:26" ht="15.75" x14ac:dyDescent="0.25">
      <c r="A468" s="145"/>
      <c r="B468" s="145"/>
      <c r="C468" s="145"/>
      <c r="D468" s="145"/>
      <c r="E468" s="145"/>
      <c r="F468" s="145"/>
      <c r="G468" s="145"/>
      <c r="H468" s="145"/>
      <c r="I468" s="145"/>
      <c r="J468" s="145"/>
      <c r="K468" s="145"/>
      <c r="L468" s="145"/>
      <c r="M468" s="145"/>
      <c r="N468" s="145"/>
      <c r="O468" s="145"/>
      <c r="P468" s="145"/>
      <c r="Q468" s="145"/>
      <c r="R468" s="145"/>
      <c r="S468" s="145"/>
      <c r="T468" s="145"/>
      <c r="U468" s="145"/>
      <c r="V468" s="145"/>
      <c r="W468" s="145"/>
      <c r="X468" s="145"/>
      <c r="Y468" s="145"/>
      <c r="Z468" s="145"/>
    </row>
    <row r="469" spans="1:26" ht="15.75" x14ac:dyDescent="0.25">
      <c r="A469" s="145"/>
      <c r="B469" s="145"/>
      <c r="C469" s="145"/>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5"/>
      <c r="Z469" s="145"/>
    </row>
    <row r="470" spans="1:26" ht="15.75" x14ac:dyDescent="0.25">
      <c r="A470" s="145"/>
      <c r="B470" s="145"/>
      <c r="C470" s="145"/>
      <c r="D470" s="145"/>
      <c r="E470" s="145"/>
      <c r="F470" s="145"/>
      <c r="G470" s="145"/>
      <c r="H470" s="145"/>
      <c r="I470" s="145"/>
      <c r="J470" s="145"/>
      <c r="K470" s="145"/>
      <c r="L470" s="145"/>
      <c r="M470" s="145"/>
      <c r="N470" s="145"/>
      <c r="O470" s="145"/>
      <c r="P470" s="145"/>
      <c r="Q470" s="145"/>
      <c r="R470" s="145"/>
      <c r="S470" s="145"/>
      <c r="T470" s="145"/>
      <c r="U470" s="145"/>
      <c r="V470" s="145"/>
      <c r="W470" s="145"/>
      <c r="X470" s="145"/>
      <c r="Y470" s="145"/>
      <c r="Z470" s="145"/>
    </row>
    <row r="471" spans="1:26" ht="15.75" x14ac:dyDescent="0.25">
      <c r="A471" s="145"/>
      <c r="B471" s="145"/>
      <c r="C471" s="145"/>
      <c r="D471" s="145"/>
      <c r="E471" s="145"/>
      <c r="F471" s="145"/>
      <c r="G471" s="145"/>
      <c r="H471" s="145"/>
      <c r="I471" s="145"/>
      <c r="J471" s="145"/>
      <c r="K471" s="145"/>
      <c r="L471" s="145"/>
      <c r="M471" s="145"/>
      <c r="N471" s="145"/>
      <c r="O471" s="145"/>
      <c r="P471" s="145"/>
      <c r="Q471" s="145"/>
      <c r="R471" s="145"/>
      <c r="S471" s="145"/>
      <c r="T471" s="145"/>
      <c r="U471" s="145"/>
      <c r="V471" s="145"/>
      <c r="W471" s="145"/>
      <c r="X471" s="145"/>
      <c r="Y471" s="145"/>
      <c r="Z471" s="145"/>
    </row>
    <row r="472" spans="1:26" ht="15.75" x14ac:dyDescent="0.25">
      <c r="A472" s="145"/>
      <c r="B472" s="145"/>
      <c r="C472" s="145"/>
      <c r="D472" s="145"/>
      <c r="E472" s="145"/>
      <c r="F472" s="145"/>
      <c r="G472" s="145"/>
      <c r="H472" s="145"/>
      <c r="I472" s="145"/>
      <c r="J472" s="145"/>
      <c r="K472" s="145"/>
      <c r="L472" s="145"/>
      <c r="M472" s="145"/>
      <c r="N472" s="145"/>
      <c r="O472" s="145"/>
      <c r="P472" s="145"/>
      <c r="Q472" s="145"/>
      <c r="R472" s="145"/>
      <c r="S472" s="145"/>
      <c r="T472" s="145"/>
      <c r="U472" s="145"/>
      <c r="V472" s="145"/>
      <c r="W472" s="145"/>
      <c r="X472" s="145"/>
      <c r="Y472" s="145"/>
      <c r="Z472" s="145"/>
    </row>
    <row r="473" spans="1:26" ht="15.75" x14ac:dyDescent="0.25">
      <c r="A473" s="145"/>
      <c r="B473" s="145"/>
      <c r="C473" s="145"/>
      <c r="D473" s="145"/>
      <c r="E473" s="145"/>
      <c r="F473" s="145"/>
      <c r="G473" s="145"/>
      <c r="H473" s="145"/>
      <c r="I473" s="145"/>
      <c r="J473" s="145"/>
      <c r="K473" s="145"/>
      <c r="L473" s="145"/>
      <c r="M473" s="145"/>
      <c r="N473" s="145"/>
      <c r="O473" s="145"/>
      <c r="P473" s="145"/>
      <c r="Q473" s="145"/>
      <c r="R473" s="145"/>
      <c r="S473" s="145"/>
      <c r="T473" s="145"/>
      <c r="U473" s="145"/>
      <c r="V473" s="145"/>
      <c r="W473" s="145"/>
      <c r="X473" s="145"/>
      <c r="Y473" s="145"/>
      <c r="Z473" s="145"/>
    </row>
    <row r="474" spans="1:26" ht="15.75" x14ac:dyDescent="0.25">
      <c r="A474" s="145"/>
      <c r="B474" s="145"/>
      <c r="C474" s="145"/>
      <c r="D474" s="145"/>
      <c r="E474" s="145"/>
      <c r="F474" s="145"/>
      <c r="G474" s="145"/>
      <c r="H474" s="145"/>
      <c r="I474" s="145"/>
      <c r="J474" s="145"/>
      <c r="K474" s="145"/>
      <c r="L474" s="145"/>
      <c r="M474" s="145"/>
      <c r="N474" s="145"/>
      <c r="O474" s="145"/>
      <c r="P474" s="145"/>
      <c r="Q474" s="145"/>
      <c r="R474" s="145"/>
      <c r="S474" s="145"/>
      <c r="T474" s="145"/>
      <c r="U474" s="145"/>
      <c r="V474" s="145"/>
      <c r="W474" s="145"/>
      <c r="X474" s="145"/>
      <c r="Y474" s="145"/>
      <c r="Z474" s="145"/>
    </row>
    <row r="475" spans="1:26" ht="15.75" x14ac:dyDescent="0.25">
      <c r="A475" s="145"/>
      <c r="B475" s="145"/>
      <c r="C475" s="145"/>
      <c r="D475" s="145"/>
      <c r="E475" s="145"/>
      <c r="F475" s="145"/>
      <c r="G475" s="145"/>
      <c r="H475" s="145"/>
      <c r="I475" s="145"/>
      <c r="J475" s="145"/>
      <c r="K475" s="145"/>
      <c r="L475" s="145"/>
      <c r="M475" s="145"/>
      <c r="N475" s="145"/>
      <c r="O475" s="145"/>
      <c r="P475" s="145"/>
      <c r="Q475" s="145"/>
      <c r="R475" s="145"/>
      <c r="S475" s="145"/>
      <c r="T475" s="145"/>
      <c r="U475" s="145"/>
      <c r="V475" s="145"/>
      <c r="W475" s="145"/>
      <c r="X475" s="145"/>
      <c r="Y475" s="145"/>
      <c r="Z475" s="145"/>
    </row>
    <row r="476" spans="1:26" ht="15.75" x14ac:dyDescent="0.25">
      <c r="A476" s="145"/>
      <c r="B476" s="145"/>
      <c r="C476" s="145"/>
      <c r="D476" s="145"/>
      <c r="E476" s="145"/>
      <c r="F476" s="145"/>
      <c r="G476" s="145"/>
      <c r="H476" s="145"/>
      <c r="I476" s="145"/>
      <c r="J476" s="145"/>
      <c r="K476" s="145"/>
      <c r="L476" s="145"/>
      <c r="M476" s="145"/>
      <c r="N476" s="145"/>
      <c r="O476" s="145"/>
      <c r="P476" s="145"/>
      <c r="Q476" s="145"/>
      <c r="R476" s="145"/>
      <c r="S476" s="145"/>
      <c r="T476" s="145"/>
      <c r="U476" s="145"/>
      <c r="V476" s="145"/>
      <c r="W476" s="145"/>
      <c r="X476" s="145"/>
      <c r="Y476" s="145"/>
      <c r="Z476" s="145"/>
    </row>
    <row r="477" spans="1:26" ht="15.75" x14ac:dyDescent="0.25">
      <c r="A477" s="145"/>
      <c r="B477" s="145"/>
      <c r="C477" s="145"/>
      <c r="D477" s="145"/>
      <c r="E477" s="145"/>
      <c r="F477" s="145"/>
      <c r="G477" s="145"/>
      <c r="H477" s="145"/>
      <c r="I477" s="145"/>
      <c r="J477" s="145"/>
      <c r="K477" s="145"/>
      <c r="L477" s="145"/>
      <c r="M477" s="145"/>
      <c r="N477" s="145"/>
      <c r="O477" s="145"/>
      <c r="P477" s="145"/>
      <c r="Q477" s="145"/>
      <c r="R477" s="145"/>
      <c r="S477" s="145"/>
      <c r="T477" s="145"/>
      <c r="U477" s="145"/>
      <c r="V477" s="145"/>
      <c r="W477" s="145"/>
      <c r="X477" s="145"/>
      <c r="Y477" s="145"/>
      <c r="Z477" s="145"/>
    </row>
    <row r="478" spans="1:26" ht="15.75" x14ac:dyDescent="0.25">
      <c r="A478" s="145"/>
      <c r="B478" s="145"/>
      <c r="C478" s="145"/>
      <c r="D478" s="145"/>
      <c r="E478" s="145"/>
      <c r="F478" s="145"/>
      <c r="G478" s="145"/>
      <c r="H478" s="145"/>
      <c r="I478" s="145"/>
      <c r="J478" s="145"/>
      <c r="K478" s="145"/>
      <c r="L478" s="145"/>
      <c r="M478" s="145"/>
      <c r="N478" s="145"/>
      <c r="O478" s="145"/>
      <c r="P478" s="145"/>
      <c r="Q478" s="145"/>
      <c r="R478" s="145"/>
      <c r="S478" s="145"/>
      <c r="T478" s="145"/>
      <c r="U478" s="145"/>
      <c r="V478" s="145"/>
      <c r="W478" s="145"/>
      <c r="X478" s="145"/>
      <c r="Y478" s="145"/>
      <c r="Z478" s="145"/>
    </row>
    <row r="479" spans="1:26" ht="15.75" x14ac:dyDescent="0.25">
      <c r="A479" s="145"/>
      <c r="B479" s="145"/>
      <c r="C479" s="145"/>
      <c r="D479" s="145"/>
      <c r="E479" s="145"/>
      <c r="F479" s="145"/>
      <c r="G479" s="145"/>
      <c r="H479" s="145"/>
      <c r="I479" s="145"/>
      <c r="J479" s="145"/>
      <c r="K479" s="145"/>
      <c r="L479" s="145"/>
      <c r="M479" s="145"/>
      <c r="N479" s="145"/>
      <c r="O479" s="145"/>
      <c r="P479" s="145"/>
      <c r="Q479" s="145"/>
      <c r="R479" s="145"/>
      <c r="S479" s="145"/>
      <c r="T479" s="145"/>
      <c r="U479" s="145"/>
      <c r="V479" s="145"/>
      <c r="W479" s="145"/>
      <c r="X479" s="145"/>
      <c r="Y479" s="145"/>
      <c r="Z479" s="145"/>
    </row>
    <row r="480" spans="1:26" ht="15.75" x14ac:dyDescent="0.25">
      <c r="A480" s="145"/>
      <c r="B480" s="145"/>
      <c r="C480" s="145"/>
      <c r="D480" s="145"/>
      <c r="E480" s="145"/>
      <c r="F480" s="145"/>
      <c r="G480" s="145"/>
      <c r="H480" s="145"/>
      <c r="I480" s="145"/>
      <c r="J480" s="145"/>
      <c r="K480" s="145"/>
      <c r="L480" s="145"/>
      <c r="M480" s="145"/>
      <c r="N480" s="145"/>
      <c r="O480" s="145"/>
      <c r="P480" s="145"/>
      <c r="Q480" s="145"/>
      <c r="R480" s="145"/>
      <c r="S480" s="145"/>
      <c r="T480" s="145"/>
      <c r="U480" s="145"/>
      <c r="V480" s="145"/>
      <c r="W480" s="145"/>
      <c r="X480" s="145"/>
      <c r="Y480" s="145"/>
      <c r="Z480" s="145"/>
    </row>
    <row r="481" spans="1:26" ht="15.75" x14ac:dyDescent="0.25">
      <c r="A481" s="145"/>
      <c r="B481" s="145"/>
      <c r="C481" s="145"/>
      <c r="D481" s="145"/>
      <c r="E481" s="145"/>
      <c r="F481" s="145"/>
      <c r="G481" s="145"/>
      <c r="H481" s="145"/>
      <c r="I481" s="145"/>
      <c r="J481" s="145"/>
      <c r="K481" s="145"/>
      <c r="L481" s="145"/>
      <c r="M481" s="145"/>
      <c r="N481" s="145"/>
      <c r="O481" s="145"/>
      <c r="P481" s="145"/>
      <c r="Q481" s="145"/>
      <c r="R481" s="145"/>
      <c r="S481" s="145"/>
      <c r="T481" s="145"/>
      <c r="U481" s="145"/>
      <c r="V481" s="145"/>
      <c r="W481" s="145"/>
      <c r="X481" s="145"/>
      <c r="Y481" s="145"/>
      <c r="Z481" s="145"/>
    </row>
    <row r="482" spans="1:26" ht="15.75" x14ac:dyDescent="0.25">
      <c r="A482" s="145"/>
      <c r="B482" s="145"/>
      <c r="C482" s="145"/>
      <c r="D482" s="145"/>
      <c r="E482" s="145"/>
      <c r="F482" s="145"/>
      <c r="G482" s="145"/>
      <c r="H482" s="145"/>
      <c r="I482" s="145"/>
      <c r="J482" s="145"/>
      <c r="K482" s="145"/>
      <c r="L482" s="145"/>
      <c r="M482" s="145"/>
      <c r="N482" s="145"/>
      <c r="O482" s="145"/>
      <c r="P482" s="145"/>
      <c r="Q482" s="145"/>
      <c r="R482" s="145"/>
      <c r="S482" s="145"/>
      <c r="T482" s="145"/>
      <c r="U482" s="145"/>
      <c r="V482" s="145"/>
      <c r="W482" s="145"/>
      <c r="X482" s="145"/>
      <c r="Y482" s="145"/>
      <c r="Z482" s="145"/>
    </row>
    <row r="483" spans="1:26" ht="15.75" x14ac:dyDescent="0.25">
      <c r="A483" s="145"/>
      <c r="B483" s="145"/>
      <c r="C483" s="145"/>
      <c r="D483" s="145"/>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row>
    <row r="484" spans="1:26" ht="15.75" x14ac:dyDescent="0.25">
      <c r="A484" s="145"/>
      <c r="B484" s="145"/>
      <c r="C484" s="145"/>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row>
    <row r="485" spans="1:26" ht="15.75" x14ac:dyDescent="0.25">
      <c r="A485" s="145"/>
      <c r="B485" s="145"/>
      <c r="C485" s="145"/>
      <c r="D485" s="145"/>
      <c r="E485" s="145"/>
      <c r="F485" s="145"/>
      <c r="G485" s="145"/>
      <c r="H485" s="145"/>
      <c r="I485" s="145"/>
      <c r="J485" s="145"/>
      <c r="K485" s="145"/>
      <c r="L485" s="145"/>
      <c r="M485" s="145"/>
      <c r="N485" s="145"/>
      <c r="O485" s="145"/>
      <c r="P485" s="145"/>
      <c r="Q485" s="145"/>
      <c r="R485" s="145"/>
      <c r="S485" s="145"/>
      <c r="T485" s="145"/>
      <c r="U485" s="145"/>
      <c r="V485" s="145"/>
      <c r="W485" s="145"/>
      <c r="X485" s="145"/>
      <c r="Y485" s="145"/>
      <c r="Z485" s="145"/>
    </row>
    <row r="486" spans="1:26" ht="15.75" x14ac:dyDescent="0.25">
      <c r="A486" s="145"/>
      <c r="B486" s="145"/>
      <c r="C486" s="145"/>
      <c r="D486" s="145"/>
      <c r="E486" s="145"/>
      <c r="F486" s="145"/>
      <c r="G486" s="145"/>
      <c r="H486" s="145"/>
      <c r="I486" s="145"/>
      <c r="J486" s="145"/>
      <c r="K486" s="145"/>
      <c r="L486" s="145"/>
      <c r="M486" s="145"/>
      <c r="N486" s="145"/>
      <c r="O486" s="145"/>
      <c r="P486" s="145"/>
      <c r="Q486" s="145"/>
      <c r="R486" s="145"/>
      <c r="S486" s="145"/>
      <c r="T486" s="145"/>
      <c r="U486" s="145"/>
      <c r="V486" s="145"/>
      <c r="W486" s="145"/>
      <c r="X486" s="145"/>
      <c r="Y486" s="145"/>
      <c r="Z486" s="145"/>
    </row>
    <row r="487" spans="1:26" ht="15.75" x14ac:dyDescent="0.25">
      <c r="A487" s="145"/>
      <c r="B487" s="145"/>
      <c r="C487" s="145"/>
      <c r="D487" s="145"/>
      <c r="E487" s="145"/>
      <c r="F487" s="145"/>
      <c r="G487" s="145"/>
      <c r="H487" s="145"/>
      <c r="I487" s="145"/>
      <c r="J487" s="145"/>
      <c r="K487" s="145"/>
      <c r="L487" s="145"/>
      <c r="M487" s="145"/>
      <c r="N487" s="145"/>
      <c r="O487" s="145"/>
      <c r="P487" s="145"/>
      <c r="Q487" s="145"/>
      <c r="R487" s="145"/>
      <c r="S487" s="145"/>
      <c r="T487" s="145"/>
      <c r="U487" s="145"/>
      <c r="V487" s="145"/>
      <c r="W487" s="145"/>
      <c r="X487" s="145"/>
      <c r="Y487" s="145"/>
      <c r="Z487" s="145"/>
    </row>
    <row r="488" spans="1:26" ht="15.75" x14ac:dyDescent="0.25">
      <c r="A488" s="145"/>
      <c r="B488" s="145"/>
      <c r="C488" s="145"/>
      <c r="D488" s="145"/>
      <c r="E488" s="145"/>
      <c r="F488" s="145"/>
      <c r="G488" s="145"/>
      <c r="H488" s="145"/>
      <c r="I488" s="145"/>
      <c r="J488" s="145"/>
      <c r="K488" s="145"/>
      <c r="L488" s="145"/>
      <c r="M488" s="145"/>
      <c r="N488" s="145"/>
      <c r="O488" s="145"/>
      <c r="P488" s="145"/>
      <c r="Q488" s="145"/>
      <c r="R488" s="145"/>
      <c r="S488" s="145"/>
      <c r="T488" s="145"/>
      <c r="U488" s="145"/>
      <c r="V488" s="145"/>
      <c r="W488" s="145"/>
      <c r="X488" s="145"/>
      <c r="Y488" s="145"/>
      <c r="Z488" s="145"/>
    </row>
    <row r="489" spans="1:26" ht="15.75" x14ac:dyDescent="0.25">
      <c r="A489" s="145"/>
      <c r="B489" s="145"/>
      <c r="C489" s="145"/>
      <c r="D489" s="145"/>
      <c r="E489" s="145"/>
      <c r="F489" s="145"/>
      <c r="G489" s="145"/>
      <c r="H489" s="145"/>
      <c r="I489" s="145"/>
      <c r="J489" s="145"/>
      <c r="K489" s="145"/>
      <c r="L489" s="145"/>
      <c r="M489" s="145"/>
      <c r="N489" s="145"/>
      <c r="O489" s="145"/>
      <c r="P489" s="145"/>
      <c r="Q489" s="145"/>
      <c r="R489" s="145"/>
      <c r="S489" s="145"/>
      <c r="T489" s="145"/>
      <c r="U489" s="145"/>
      <c r="V489" s="145"/>
      <c r="W489" s="145"/>
      <c r="X489" s="145"/>
      <c r="Y489" s="145"/>
      <c r="Z489" s="145"/>
    </row>
    <row r="490" spans="1:26" ht="15.75" x14ac:dyDescent="0.25">
      <c r="A490" s="145"/>
      <c r="B490" s="145"/>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5"/>
      <c r="Z490" s="145"/>
    </row>
    <row r="491" spans="1:26" ht="15.75" x14ac:dyDescent="0.25">
      <c r="A491" s="145"/>
      <c r="B491" s="145"/>
      <c r="C491" s="145"/>
      <c r="D491" s="145"/>
      <c r="E491" s="145"/>
      <c r="F491" s="145"/>
      <c r="G491" s="145"/>
      <c r="H491" s="145"/>
      <c r="I491" s="145"/>
      <c r="J491" s="145"/>
      <c r="K491" s="145"/>
      <c r="L491" s="145"/>
      <c r="M491" s="145"/>
      <c r="N491" s="145"/>
      <c r="O491" s="145"/>
      <c r="P491" s="145"/>
      <c r="Q491" s="145"/>
      <c r="R491" s="145"/>
      <c r="S491" s="145"/>
      <c r="T491" s="145"/>
      <c r="U491" s="145"/>
      <c r="V491" s="145"/>
      <c r="W491" s="145"/>
      <c r="X491" s="145"/>
      <c r="Y491" s="145"/>
      <c r="Z491" s="145"/>
    </row>
    <row r="492" spans="1:26" ht="15.75" x14ac:dyDescent="0.25">
      <c r="A492" s="145"/>
      <c r="B492" s="145"/>
      <c r="C492" s="145"/>
      <c r="D492" s="145"/>
      <c r="E492" s="145"/>
      <c r="F492" s="145"/>
      <c r="G492" s="145"/>
      <c r="H492" s="145"/>
      <c r="I492" s="145"/>
      <c r="J492" s="145"/>
      <c r="K492" s="145"/>
      <c r="L492" s="145"/>
      <c r="M492" s="145"/>
      <c r="N492" s="145"/>
      <c r="O492" s="145"/>
      <c r="P492" s="145"/>
      <c r="Q492" s="145"/>
      <c r="R492" s="145"/>
      <c r="S492" s="145"/>
      <c r="T492" s="145"/>
      <c r="U492" s="145"/>
      <c r="V492" s="145"/>
      <c r="W492" s="145"/>
      <c r="X492" s="145"/>
      <c r="Y492" s="145"/>
      <c r="Z492" s="145"/>
    </row>
    <row r="493" spans="1:26" ht="15.75" x14ac:dyDescent="0.25">
      <c r="A493" s="145"/>
      <c r="B493" s="145"/>
      <c r="C493" s="145"/>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5"/>
      <c r="Z493" s="145"/>
    </row>
    <row r="494" spans="1:26" ht="15.75" x14ac:dyDescent="0.25">
      <c r="A494" s="145"/>
      <c r="B494" s="145"/>
      <c r="C494" s="145"/>
      <c r="D494" s="145"/>
      <c r="E494" s="145"/>
      <c r="F494" s="145"/>
      <c r="G494" s="145"/>
      <c r="H494" s="145"/>
      <c r="I494" s="145"/>
      <c r="J494" s="145"/>
      <c r="K494" s="145"/>
      <c r="L494" s="145"/>
      <c r="M494" s="145"/>
      <c r="N494" s="145"/>
      <c r="O494" s="145"/>
      <c r="P494" s="145"/>
      <c r="Q494" s="145"/>
      <c r="R494" s="145"/>
      <c r="S494" s="145"/>
      <c r="T494" s="145"/>
      <c r="U494" s="145"/>
      <c r="V494" s="145"/>
      <c r="W494" s="145"/>
      <c r="X494" s="145"/>
      <c r="Y494" s="145"/>
      <c r="Z494" s="145"/>
    </row>
    <row r="495" spans="1:26" ht="15.75" x14ac:dyDescent="0.25">
      <c r="A495" s="145"/>
      <c r="B495" s="145"/>
      <c r="C495" s="145"/>
      <c r="D495" s="145"/>
      <c r="E495" s="145"/>
      <c r="F495" s="145"/>
      <c r="G495" s="145"/>
      <c r="H495" s="145"/>
      <c r="I495" s="145"/>
      <c r="J495" s="145"/>
      <c r="K495" s="145"/>
      <c r="L495" s="145"/>
      <c r="M495" s="145"/>
      <c r="N495" s="145"/>
      <c r="O495" s="145"/>
      <c r="P495" s="145"/>
      <c r="Q495" s="145"/>
      <c r="R495" s="145"/>
      <c r="S495" s="145"/>
      <c r="T495" s="145"/>
      <c r="U495" s="145"/>
      <c r="V495" s="145"/>
      <c r="W495" s="145"/>
      <c r="X495" s="145"/>
      <c r="Y495" s="145"/>
      <c r="Z495" s="145"/>
    </row>
    <row r="496" spans="1:26" ht="15.75" x14ac:dyDescent="0.25">
      <c r="A496" s="145"/>
      <c r="B496" s="145"/>
      <c r="C496" s="145"/>
      <c r="D496" s="145"/>
      <c r="E496" s="145"/>
      <c r="F496" s="145"/>
      <c r="G496" s="145"/>
      <c r="H496" s="145"/>
      <c r="I496" s="145"/>
      <c r="J496" s="145"/>
      <c r="K496" s="145"/>
      <c r="L496" s="145"/>
      <c r="M496" s="145"/>
      <c r="N496" s="145"/>
      <c r="O496" s="145"/>
      <c r="P496" s="145"/>
      <c r="Q496" s="145"/>
      <c r="R496" s="145"/>
      <c r="S496" s="145"/>
      <c r="T496" s="145"/>
      <c r="U496" s="145"/>
      <c r="V496" s="145"/>
      <c r="W496" s="145"/>
      <c r="X496" s="145"/>
      <c r="Y496" s="145"/>
      <c r="Z496" s="145"/>
    </row>
    <row r="497" spans="1:26" ht="15.75" x14ac:dyDescent="0.25">
      <c r="A497" s="145"/>
      <c r="B497" s="145"/>
      <c r="C497" s="145"/>
      <c r="D497" s="145"/>
      <c r="E497" s="145"/>
      <c r="F497" s="145"/>
      <c r="G497" s="145"/>
      <c r="H497" s="145"/>
      <c r="I497" s="145"/>
      <c r="J497" s="145"/>
      <c r="K497" s="145"/>
      <c r="L497" s="145"/>
      <c r="M497" s="145"/>
      <c r="N497" s="145"/>
      <c r="O497" s="145"/>
      <c r="P497" s="145"/>
      <c r="Q497" s="145"/>
      <c r="R497" s="145"/>
      <c r="S497" s="145"/>
      <c r="T497" s="145"/>
      <c r="U497" s="145"/>
      <c r="V497" s="145"/>
      <c r="W497" s="145"/>
      <c r="X497" s="145"/>
      <c r="Y497" s="145"/>
      <c r="Z497" s="145"/>
    </row>
    <row r="498" spans="1:26" ht="15.75" x14ac:dyDescent="0.25">
      <c r="A498" s="145"/>
      <c r="B498" s="145"/>
      <c r="C498" s="145"/>
      <c r="D498" s="145"/>
      <c r="E498" s="145"/>
      <c r="F498" s="145"/>
      <c r="G498" s="145"/>
      <c r="H498" s="145"/>
      <c r="I498" s="145"/>
      <c r="J498" s="145"/>
      <c r="K498" s="145"/>
      <c r="L498" s="145"/>
      <c r="M498" s="145"/>
      <c r="N498" s="145"/>
      <c r="O498" s="145"/>
      <c r="P498" s="145"/>
      <c r="Q498" s="145"/>
      <c r="R498" s="145"/>
      <c r="S498" s="145"/>
      <c r="T498" s="145"/>
      <c r="U498" s="145"/>
      <c r="V498" s="145"/>
      <c r="W498" s="145"/>
      <c r="X498" s="145"/>
      <c r="Y498" s="145"/>
      <c r="Z498" s="145"/>
    </row>
    <row r="499" spans="1:26" ht="15.75" x14ac:dyDescent="0.25">
      <c r="A499" s="145"/>
      <c r="B499" s="145"/>
      <c r="C499" s="145"/>
      <c r="D499" s="145"/>
      <c r="E499" s="145"/>
      <c r="F499" s="145"/>
      <c r="G499" s="145"/>
      <c r="H499" s="145"/>
      <c r="I499" s="145"/>
      <c r="J499" s="145"/>
      <c r="K499" s="145"/>
      <c r="L499" s="145"/>
      <c r="M499" s="145"/>
      <c r="N499" s="145"/>
      <c r="O499" s="145"/>
      <c r="P499" s="145"/>
      <c r="Q499" s="145"/>
      <c r="R499" s="145"/>
      <c r="S499" s="145"/>
      <c r="T499" s="145"/>
      <c r="U499" s="145"/>
      <c r="V499" s="145"/>
      <c r="W499" s="145"/>
      <c r="X499" s="145"/>
      <c r="Y499" s="145"/>
      <c r="Z499" s="145"/>
    </row>
    <row r="500" spans="1:26" ht="15.75" x14ac:dyDescent="0.25">
      <c r="A500" s="145"/>
      <c r="B500" s="145"/>
      <c r="C500" s="145"/>
      <c r="D500" s="145"/>
      <c r="E500" s="145"/>
      <c r="F500" s="145"/>
      <c r="G500" s="145"/>
      <c r="H500" s="145"/>
      <c r="I500" s="145"/>
      <c r="J500" s="145"/>
      <c r="K500" s="145"/>
      <c r="L500" s="145"/>
      <c r="M500" s="145"/>
      <c r="N500" s="145"/>
      <c r="O500" s="145"/>
      <c r="P500" s="145"/>
      <c r="Q500" s="145"/>
      <c r="R500" s="145"/>
      <c r="S500" s="145"/>
      <c r="T500" s="145"/>
      <c r="U500" s="145"/>
      <c r="V500" s="145"/>
      <c r="W500" s="145"/>
      <c r="X500" s="145"/>
      <c r="Y500" s="145"/>
      <c r="Z500" s="145"/>
    </row>
    <row r="501" spans="1:26" ht="15.75" x14ac:dyDescent="0.25">
      <c r="A501" s="145"/>
      <c r="B501" s="145"/>
      <c r="C501" s="145"/>
      <c r="D501" s="145"/>
      <c r="E501" s="145"/>
      <c r="F501" s="145"/>
      <c r="G501" s="145"/>
      <c r="H501" s="145"/>
      <c r="I501" s="145"/>
      <c r="J501" s="145"/>
      <c r="K501" s="145"/>
      <c r="L501" s="145"/>
      <c r="M501" s="145"/>
      <c r="N501" s="145"/>
      <c r="O501" s="145"/>
      <c r="P501" s="145"/>
      <c r="Q501" s="145"/>
      <c r="R501" s="145"/>
      <c r="S501" s="145"/>
      <c r="T501" s="145"/>
      <c r="U501" s="145"/>
      <c r="V501" s="145"/>
      <c r="W501" s="145"/>
      <c r="X501" s="145"/>
      <c r="Y501" s="145"/>
      <c r="Z501" s="145"/>
    </row>
    <row r="502" spans="1:26" ht="15.75" x14ac:dyDescent="0.25">
      <c r="A502" s="145"/>
      <c r="B502" s="145"/>
      <c r="C502" s="145"/>
      <c r="D502" s="145"/>
      <c r="E502" s="145"/>
      <c r="F502" s="145"/>
      <c r="G502" s="145"/>
      <c r="H502" s="145"/>
      <c r="I502" s="145"/>
      <c r="J502" s="145"/>
      <c r="K502" s="145"/>
      <c r="L502" s="145"/>
      <c r="M502" s="145"/>
      <c r="N502" s="145"/>
      <c r="O502" s="145"/>
      <c r="P502" s="145"/>
      <c r="Q502" s="145"/>
      <c r="R502" s="145"/>
      <c r="S502" s="145"/>
      <c r="T502" s="145"/>
      <c r="U502" s="145"/>
      <c r="V502" s="145"/>
      <c r="W502" s="145"/>
      <c r="X502" s="145"/>
      <c r="Y502" s="145"/>
      <c r="Z502" s="145"/>
    </row>
    <row r="503" spans="1:26" ht="15.75" x14ac:dyDescent="0.25">
      <c r="A503" s="145"/>
      <c r="B503" s="145"/>
      <c r="C503" s="145"/>
      <c r="D503" s="145"/>
      <c r="E503" s="145"/>
      <c r="F503" s="145"/>
      <c r="G503" s="145"/>
      <c r="H503" s="145"/>
      <c r="I503" s="145"/>
      <c r="J503" s="145"/>
      <c r="K503" s="145"/>
      <c r="L503" s="145"/>
      <c r="M503" s="145"/>
      <c r="N503" s="145"/>
      <c r="O503" s="145"/>
      <c r="P503" s="145"/>
      <c r="Q503" s="145"/>
      <c r="R503" s="145"/>
      <c r="S503" s="145"/>
      <c r="T503" s="145"/>
      <c r="U503" s="145"/>
      <c r="V503" s="145"/>
      <c r="W503" s="145"/>
      <c r="X503" s="145"/>
      <c r="Y503" s="145"/>
      <c r="Z503" s="145"/>
    </row>
    <row r="504" spans="1:26" ht="15.75" x14ac:dyDescent="0.25">
      <c r="A504" s="145"/>
      <c r="B504" s="145"/>
      <c r="C504" s="145"/>
      <c r="D504" s="145"/>
      <c r="E504" s="145"/>
      <c r="F504" s="145"/>
      <c r="G504" s="145"/>
      <c r="H504" s="145"/>
      <c r="I504" s="145"/>
      <c r="J504" s="145"/>
      <c r="K504" s="145"/>
      <c r="L504" s="145"/>
      <c r="M504" s="145"/>
      <c r="N504" s="145"/>
      <c r="O504" s="145"/>
      <c r="P504" s="145"/>
      <c r="Q504" s="145"/>
      <c r="R504" s="145"/>
      <c r="S504" s="145"/>
      <c r="T504" s="145"/>
      <c r="U504" s="145"/>
      <c r="V504" s="145"/>
      <c r="W504" s="145"/>
      <c r="X504" s="145"/>
      <c r="Y504" s="145"/>
      <c r="Z504" s="145"/>
    </row>
    <row r="505" spans="1:26" ht="15.75" x14ac:dyDescent="0.25">
      <c r="A505" s="145"/>
      <c r="B505" s="145"/>
      <c r="C505" s="145"/>
      <c r="D505" s="145"/>
      <c r="E505" s="145"/>
      <c r="F505" s="145"/>
      <c r="G505" s="145"/>
      <c r="H505" s="145"/>
      <c r="I505" s="145"/>
      <c r="J505" s="145"/>
      <c r="K505" s="145"/>
      <c r="L505" s="145"/>
      <c r="M505" s="145"/>
      <c r="N505" s="145"/>
      <c r="O505" s="145"/>
      <c r="P505" s="145"/>
      <c r="Q505" s="145"/>
      <c r="R505" s="145"/>
      <c r="S505" s="145"/>
      <c r="T505" s="145"/>
      <c r="U505" s="145"/>
      <c r="V505" s="145"/>
      <c r="W505" s="145"/>
      <c r="X505" s="145"/>
      <c r="Y505" s="145"/>
      <c r="Z505" s="145"/>
    </row>
    <row r="506" spans="1:26" ht="15.75" x14ac:dyDescent="0.25">
      <c r="A506" s="145"/>
      <c r="B506" s="145"/>
      <c r="C506" s="145"/>
      <c r="D506" s="145"/>
      <c r="E506" s="145"/>
      <c r="F506" s="145"/>
      <c r="G506" s="145"/>
      <c r="H506" s="145"/>
      <c r="I506" s="145"/>
      <c r="J506" s="145"/>
      <c r="K506" s="145"/>
      <c r="L506" s="145"/>
      <c r="M506" s="145"/>
      <c r="N506" s="145"/>
      <c r="O506" s="145"/>
      <c r="P506" s="145"/>
      <c r="Q506" s="145"/>
      <c r="R506" s="145"/>
      <c r="S506" s="145"/>
      <c r="T506" s="145"/>
      <c r="U506" s="145"/>
      <c r="V506" s="145"/>
      <c r="W506" s="145"/>
      <c r="X506" s="145"/>
      <c r="Y506" s="145"/>
      <c r="Z506" s="145"/>
    </row>
    <row r="507" spans="1:26" ht="15.75" x14ac:dyDescent="0.25">
      <c r="A507" s="145"/>
      <c r="B507" s="145"/>
      <c r="C507" s="145"/>
      <c r="D507" s="145"/>
      <c r="E507" s="145"/>
      <c r="F507" s="145"/>
      <c r="G507" s="145"/>
      <c r="H507" s="145"/>
      <c r="I507" s="145"/>
      <c r="J507" s="145"/>
      <c r="K507" s="145"/>
      <c r="L507" s="145"/>
      <c r="M507" s="145"/>
      <c r="N507" s="145"/>
      <c r="O507" s="145"/>
      <c r="P507" s="145"/>
      <c r="Q507" s="145"/>
      <c r="R507" s="145"/>
      <c r="S507" s="145"/>
      <c r="T507" s="145"/>
      <c r="U507" s="145"/>
      <c r="V507" s="145"/>
      <c r="W507" s="145"/>
      <c r="X507" s="145"/>
      <c r="Y507" s="145"/>
      <c r="Z507" s="145"/>
    </row>
    <row r="508" spans="1:26" ht="15.75" x14ac:dyDescent="0.25">
      <c r="A508" s="145"/>
      <c r="B508" s="145"/>
      <c r="C508" s="145"/>
      <c r="D508" s="145"/>
      <c r="E508" s="145"/>
      <c r="F508" s="145"/>
      <c r="G508" s="145"/>
      <c r="H508" s="145"/>
      <c r="I508" s="145"/>
      <c r="J508" s="145"/>
      <c r="K508" s="145"/>
      <c r="L508" s="145"/>
      <c r="M508" s="145"/>
      <c r="N508" s="145"/>
      <c r="O508" s="145"/>
      <c r="P508" s="145"/>
      <c r="Q508" s="145"/>
      <c r="R508" s="145"/>
      <c r="S508" s="145"/>
      <c r="T508" s="145"/>
      <c r="U508" s="145"/>
      <c r="V508" s="145"/>
      <c r="W508" s="145"/>
      <c r="X508" s="145"/>
      <c r="Y508" s="145"/>
      <c r="Z508" s="145"/>
    </row>
    <row r="509" spans="1:26" ht="15.75" x14ac:dyDescent="0.25">
      <c r="A509" s="145"/>
      <c r="B509" s="145"/>
      <c r="C509" s="145"/>
      <c r="D509" s="145"/>
      <c r="E509" s="145"/>
      <c r="F509" s="145"/>
      <c r="G509" s="145"/>
      <c r="H509" s="145"/>
      <c r="I509" s="145"/>
      <c r="J509" s="145"/>
      <c r="K509" s="145"/>
      <c r="L509" s="145"/>
      <c r="M509" s="145"/>
      <c r="N509" s="145"/>
      <c r="O509" s="145"/>
      <c r="P509" s="145"/>
      <c r="Q509" s="145"/>
      <c r="R509" s="145"/>
      <c r="S509" s="145"/>
      <c r="T509" s="145"/>
      <c r="U509" s="145"/>
      <c r="V509" s="145"/>
      <c r="W509" s="145"/>
      <c r="X509" s="145"/>
      <c r="Y509" s="145"/>
      <c r="Z509" s="145"/>
    </row>
    <row r="510" spans="1:26" ht="15.75" x14ac:dyDescent="0.25">
      <c r="A510" s="145"/>
      <c r="B510" s="145"/>
      <c r="C510" s="145"/>
      <c r="D510" s="145"/>
      <c r="E510" s="145"/>
      <c r="F510" s="145"/>
      <c r="G510" s="145"/>
      <c r="H510" s="145"/>
      <c r="I510" s="145"/>
      <c r="J510" s="145"/>
      <c r="K510" s="145"/>
      <c r="L510" s="145"/>
      <c r="M510" s="145"/>
      <c r="N510" s="145"/>
      <c r="O510" s="145"/>
      <c r="P510" s="145"/>
      <c r="Q510" s="145"/>
      <c r="R510" s="145"/>
      <c r="S510" s="145"/>
      <c r="T510" s="145"/>
      <c r="U510" s="145"/>
      <c r="V510" s="145"/>
      <c r="W510" s="145"/>
      <c r="X510" s="145"/>
      <c r="Y510" s="145"/>
      <c r="Z510" s="145"/>
    </row>
    <row r="511" spans="1:26" ht="15.75" x14ac:dyDescent="0.25">
      <c r="A511" s="145"/>
      <c r="B511" s="145"/>
      <c r="C511" s="145"/>
      <c r="D511" s="145"/>
      <c r="E511" s="145"/>
      <c r="F511" s="145"/>
      <c r="G511" s="145"/>
      <c r="H511" s="145"/>
      <c r="I511" s="145"/>
      <c r="J511" s="145"/>
      <c r="K511" s="145"/>
      <c r="L511" s="145"/>
      <c r="M511" s="145"/>
      <c r="N511" s="145"/>
      <c r="O511" s="145"/>
      <c r="P511" s="145"/>
      <c r="Q511" s="145"/>
      <c r="R511" s="145"/>
      <c r="S511" s="145"/>
      <c r="T511" s="145"/>
      <c r="U511" s="145"/>
      <c r="V511" s="145"/>
      <c r="W511" s="145"/>
      <c r="X511" s="145"/>
      <c r="Y511" s="145"/>
      <c r="Z511" s="145"/>
    </row>
    <row r="512" spans="1:26" ht="15.75" x14ac:dyDescent="0.25">
      <c r="A512" s="145"/>
      <c r="B512" s="145"/>
      <c r="C512" s="145"/>
      <c r="D512" s="145"/>
      <c r="E512" s="145"/>
      <c r="F512" s="145"/>
      <c r="G512" s="145"/>
      <c r="H512" s="145"/>
      <c r="I512" s="145"/>
      <c r="J512" s="145"/>
      <c r="K512" s="145"/>
      <c r="L512" s="145"/>
      <c r="M512" s="145"/>
      <c r="N512" s="145"/>
      <c r="O512" s="145"/>
      <c r="P512" s="145"/>
      <c r="Q512" s="145"/>
      <c r="R512" s="145"/>
      <c r="S512" s="145"/>
      <c r="T512" s="145"/>
      <c r="U512" s="145"/>
      <c r="V512" s="145"/>
      <c r="W512" s="145"/>
      <c r="X512" s="145"/>
      <c r="Y512" s="145"/>
      <c r="Z512" s="145"/>
    </row>
    <row r="513" spans="1:26" ht="15.75" x14ac:dyDescent="0.25">
      <c r="A513" s="145"/>
      <c r="B513" s="145"/>
      <c r="C513" s="145"/>
      <c r="D513" s="145"/>
      <c r="E513" s="145"/>
      <c r="F513" s="145"/>
      <c r="G513" s="145"/>
      <c r="H513" s="145"/>
      <c r="I513" s="145"/>
      <c r="J513" s="145"/>
      <c r="K513" s="145"/>
      <c r="L513" s="145"/>
      <c r="M513" s="145"/>
      <c r="N513" s="145"/>
      <c r="O513" s="145"/>
      <c r="P513" s="145"/>
      <c r="Q513" s="145"/>
      <c r="R513" s="145"/>
      <c r="S513" s="145"/>
      <c r="T513" s="145"/>
      <c r="U513" s="145"/>
      <c r="V513" s="145"/>
      <c r="W513" s="145"/>
      <c r="X513" s="145"/>
      <c r="Y513" s="145"/>
      <c r="Z513" s="145"/>
    </row>
    <row r="514" spans="1:26" ht="15.75" x14ac:dyDescent="0.25">
      <c r="A514" s="145"/>
      <c r="B514" s="145"/>
      <c r="C514" s="145"/>
      <c r="D514" s="145"/>
      <c r="E514" s="145"/>
      <c r="F514" s="145"/>
      <c r="G514" s="145"/>
      <c r="H514" s="145"/>
      <c r="I514" s="145"/>
      <c r="J514" s="145"/>
      <c r="K514" s="145"/>
      <c r="L514" s="145"/>
      <c r="M514" s="145"/>
      <c r="N514" s="145"/>
      <c r="O514" s="145"/>
      <c r="P514" s="145"/>
      <c r="Q514" s="145"/>
      <c r="R514" s="145"/>
      <c r="S514" s="145"/>
      <c r="T514" s="145"/>
      <c r="U514" s="145"/>
      <c r="V514" s="145"/>
      <c r="W514" s="145"/>
      <c r="X514" s="145"/>
      <c r="Y514" s="145"/>
      <c r="Z514" s="145"/>
    </row>
    <row r="515" spans="1:26" ht="15.75" x14ac:dyDescent="0.25">
      <c r="A515" s="145"/>
      <c r="B515" s="145"/>
      <c r="C515" s="145"/>
      <c r="D515" s="145"/>
      <c r="E515" s="145"/>
      <c r="F515" s="145"/>
      <c r="G515" s="145"/>
      <c r="H515" s="145"/>
      <c r="I515" s="145"/>
      <c r="J515" s="145"/>
      <c r="K515" s="145"/>
      <c r="L515" s="145"/>
      <c r="M515" s="145"/>
      <c r="N515" s="145"/>
      <c r="O515" s="145"/>
      <c r="P515" s="145"/>
      <c r="Q515" s="145"/>
      <c r="R515" s="145"/>
      <c r="S515" s="145"/>
      <c r="T515" s="145"/>
      <c r="U515" s="145"/>
      <c r="V515" s="145"/>
      <c r="W515" s="145"/>
      <c r="X515" s="145"/>
      <c r="Y515" s="145"/>
      <c r="Z515" s="145"/>
    </row>
    <row r="516" spans="1:26" ht="15.75" x14ac:dyDescent="0.25">
      <c r="A516" s="145"/>
      <c r="B516" s="145"/>
      <c r="C516" s="145"/>
      <c r="D516" s="145"/>
      <c r="E516" s="145"/>
      <c r="F516" s="145"/>
      <c r="G516" s="145"/>
      <c r="H516" s="145"/>
      <c r="I516" s="145"/>
      <c r="J516" s="145"/>
      <c r="K516" s="145"/>
      <c r="L516" s="145"/>
      <c r="M516" s="145"/>
      <c r="N516" s="145"/>
      <c r="O516" s="145"/>
      <c r="P516" s="145"/>
      <c r="Q516" s="145"/>
      <c r="R516" s="145"/>
      <c r="S516" s="145"/>
      <c r="T516" s="145"/>
      <c r="U516" s="145"/>
      <c r="V516" s="145"/>
      <c r="W516" s="145"/>
      <c r="X516" s="145"/>
      <c r="Y516" s="145"/>
      <c r="Z516" s="145"/>
    </row>
    <row r="517" spans="1:26" ht="15.75" x14ac:dyDescent="0.25">
      <c r="A517" s="145"/>
      <c r="B517" s="145"/>
      <c r="C517" s="145"/>
      <c r="D517" s="145"/>
      <c r="E517" s="145"/>
      <c r="F517" s="145"/>
      <c r="G517" s="145"/>
      <c r="H517" s="145"/>
      <c r="I517" s="145"/>
      <c r="J517" s="145"/>
      <c r="K517" s="145"/>
      <c r="L517" s="145"/>
      <c r="M517" s="145"/>
      <c r="N517" s="145"/>
      <c r="O517" s="145"/>
      <c r="P517" s="145"/>
      <c r="Q517" s="145"/>
      <c r="R517" s="145"/>
      <c r="S517" s="145"/>
      <c r="T517" s="145"/>
      <c r="U517" s="145"/>
      <c r="V517" s="145"/>
      <c r="W517" s="145"/>
      <c r="X517" s="145"/>
      <c r="Y517" s="145"/>
      <c r="Z517" s="145"/>
    </row>
    <row r="518" spans="1:26" ht="15.75" x14ac:dyDescent="0.25">
      <c r="A518" s="145"/>
      <c r="B518" s="145"/>
      <c r="C518" s="145"/>
      <c r="D518" s="145"/>
      <c r="E518" s="145"/>
      <c r="F518" s="145"/>
      <c r="G518" s="145"/>
      <c r="H518" s="145"/>
      <c r="I518" s="145"/>
      <c r="J518" s="145"/>
      <c r="K518" s="145"/>
      <c r="L518" s="145"/>
      <c r="M518" s="145"/>
      <c r="N518" s="145"/>
      <c r="O518" s="145"/>
      <c r="P518" s="145"/>
      <c r="Q518" s="145"/>
      <c r="R518" s="145"/>
      <c r="S518" s="145"/>
      <c r="T518" s="145"/>
      <c r="U518" s="145"/>
      <c r="V518" s="145"/>
      <c r="W518" s="145"/>
      <c r="X518" s="145"/>
      <c r="Y518" s="145"/>
      <c r="Z518" s="145"/>
    </row>
    <row r="519" spans="1:26" ht="15.75" x14ac:dyDescent="0.25">
      <c r="A519" s="145"/>
      <c r="B519" s="145"/>
      <c r="C519" s="145"/>
      <c r="D519" s="145"/>
      <c r="E519" s="145"/>
      <c r="F519" s="145"/>
      <c r="G519" s="145"/>
      <c r="H519" s="145"/>
      <c r="I519" s="145"/>
      <c r="J519" s="145"/>
      <c r="K519" s="145"/>
      <c r="L519" s="145"/>
      <c r="M519" s="145"/>
      <c r="N519" s="145"/>
      <c r="O519" s="145"/>
      <c r="P519" s="145"/>
      <c r="Q519" s="145"/>
      <c r="R519" s="145"/>
      <c r="S519" s="145"/>
      <c r="T519" s="145"/>
      <c r="U519" s="145"/>
      <c r="V519" s="145"/>
      <c r="W519" s="145"/>
      <c r="X519" s="145"/>
      <c r="Y519" s="145"/>
      <c r="Z519" s="145"/>
    </row>
    <row r="520" spans="1:26" ht="15.75" x14ac:dyDescent="0.25">
      <c r="A520" s="145"/>
      <c r="B520" s="145"/>
      <c r="C520" s="145"/>
      <c r="D520" s="145"/>
      <c r="E520" s="145"/>
      <c r="F520" s="145"/>
      <c r="G520" s="145"/>
      <c r="H520" s="145"/>
      <c r="I520" s="145"/>
      <c r="J520" s="145"/>
      <c r="K520" s="145"/>
      <c r="L520" s="145"/>
      <c r="M520" s="145"/>
      <c r="N520" s="145"/>
      <c r="O520" s="145"/>
      <c r="P520" s="145"/>
      <c r="Q520" s="145"/>
      <c r="R520" s="145"/>
      <c r="S520" s="145"/>
      <c r="T520" s="145"/>
      <c r="U520" s="145"/>
      <c r="V520" s="145"/>
      <c r="W520" s="145"/>
      <c r="X520" s="145"/>
      <c r="Y520" s="145"/>
      <c r="Z520" s="145"/>
    </row>
    <row r="521" spans="1:26" ht="15.75" x14ac:dyDescent="0.25">
      <c r="A521" s="145"/>
      <c r="B521" s="145"/>
      <c r="C521" s="145"/>
      <c r="D521" s="145"/>
      <c r="E521" s="145"/>
      <c r="F521" s="145"/>
      <c r="G521" s="145"/>
      <c r="H521" s="145"/>
      <c r="I521" s="145"/>
      <c r="J521" s="145"/>
      <c r="K521" s="145"/>
      <c r="L521" s="145"/>
      <c r="M521" s="145"/>
      <c r="N521" s="145"/>
      <c r="O521" s="145"/>
      <c r="P521" s="145"/>
      <c r="Q521" s="145"/>
      <c r="R521" s="145"/>
      <c r="S521" s="145"/>
      <c r="T521" s="145"/>
      <c r="U521" s="145"/>
      <c r="V521" s="145"/>
      <c r="W521" s="145"/>
      <c r="X521" s="145"/>
      <c r="Y521" s="145"/>
      <c r="Z521" s="145"/>
    </row>
    <row r="522" spans="1:26" ht="15.75" x14ac:dyDescent="0.25">
      <c r="A522" s="145"/>
      <c r="B522" s="145"/>
      <c r="C522" s="145"/>
      <c r="D522" s="145"/>
      <c r="E522" s="145"/>
      <c r="F522" s="145"/>
      <c r="G522" s="145"/>
      <c r="H522" s="145"/>
      <c r="I522" s="145"/>
      <c r="J522" s="145"/>
      <c r="K522" s="145"/>
      <c r="L522" s="145"/>
      <c r="M522" s="145"/>
      <c r="N522" s="145"/>
      <c r="O522" s="145"/>
      <c r="P522" s="145"/>
      <c r="Q522" s="145"/>
      <c r="R522" s="145"/>
      <c r="S522" s="145"/>
      <c r="T522" s="145"/>
      <c r="U522" s="145"/>
      <c r="V522" s="145"/>
      <c r="W522" s="145"/>
      <c r="X522" s="145"/>
      <c r="Y522" s="145"/>
      <c r="Z522" s="145"/>
    </row>
    <row r="523" spans="1:26" ht="15.75" x14ac:dyDescent="0.25">
      <c r="A523" s="145"/>
      <c r="B523" s="145"/>
      <c r="C523" s="145"/>
      <c r="D523" s="145"/>
      <c r="E523" s="145"/>
      <c r="F523" s="145"/>
      <c r="G523" s="145"/>
      <c r="H523" s="145"/>
      <c r="I523" s="145"/>
      <c r="J523" s="145"/>
      <c r="K523" s="145"/>
      <c r="L523" s="145"/>
      <c r="M523" s="145"/>
      <c r="N523" s="145"/>
      <c r="O523" s="145"/>
      <c r="P523" s="145"/>
      <c r="Q523" s="145"/>
      <c r="R523" s="145"/>
      <c r="S523" s="145"/>
      <c r="T523" s="145"/>
      <c r="U523" s="145"/>
      <c r="V523" s="145"/>
      <c r="W523" s="145"/>
      <c r="X523" s="145"/>
      <c r="Y523" s="145"/>
      <c r="Z523" s="145"/>
    </row>
    <row r="524" spans="1:26" ht="15.75" x14ac:dyDescent="0.25">
      <c r="A524" s="145"/>
      <c r="B524" s="145"/>
      <c r="C524" s="145"/>
      <c r="D524" s="145"/>
      <c r="E524" s="145"/>
      <c r="F524" s="145"/>
      <c r="G524" s="145"/>
      <c r="H524" s="145"/>
      <c r="I524" s="145"/>
      <c r="J524" s="145"/>
      <c r="K524" s="145"/>
      <c r="L524" s="145"/>
      <c r="M524" s="145"/>
      <c r="N524" s="145"/>
      <c r="O524" s="145"/>
      <c r="P524" s="145"/>
      <c r="Q524" s="145"/>
      <c r="R524" s="145"/>
      <c r="S524" s="145"/>
      <c r="T524" s="145"/>
      <c r="U524" s="145"/>
      <c r="V524" s="145"/>
      <c r="W524" s="145"/>
      <c r="X524" s="145"/>
      <c r="Y524" s="145"/>
      <c r="Z524" s="145"/>
    </row>
    <row r="525" spans="1:26" ht="15.75" x14ac:dyDescent="0.25">
      <c r="A525" s="145"/>
      <c r="B525" s="145"/>
      <c r="C525" s="145"/>
      <c r="D525" s="145"/>
      <c r="E525" s="145"/>
      <c r="F525" s="145"/>
      <c r="G525" s="145"/>
      <c r="H525" s="145"/>
      <c r="I525" s="145"/>
      <c r="J525" s="145"/>
      <c r="K525" s="145"/>
      <c r="L525" s="145"/>
      <c r="M525" s="145"/>
      <c r="N525" s="145"/>
      <c r="O525" s="145"/>
      <c r="P525" s="145"/>
      <c r="Q525" s="145"/>
      <c r="R525" s="145"/>
      <c r="S525" s="145"/>
      <c r="T525" s="145"/>
      <c r="U525" s="145"/>
      <c r="V525" s="145"/>
      <c r="W525" s="145"/>
      <c r="X525" s="145"/>
      <c r="Y525" s="145"/>
      <c r="Z525" s="145"/>
    </row>
    <row r="526" spans="1:26" ht="15.75" x14ac:dyDescent="0.25">
      <c r="A526" s="145"/>
      <c r="B526" s="145"/>
      <c r="C526" s="145"/>
      <c r="D526" s="145"/>
      <c r="E526" s="145"/>
      <c r="F526" s="145"/>
      <c r="G526" s="145"/>
      <c r="H526" s="145"/>
      <c r="I526" s="145"/>
      <c r="J526" s="145"/>
      <c r="K526" s="145"/>
      <c r="L526" s="145"/>
      <c r="M526" s="145"/>
      <c r="N526" s="145"/>
      <c r="O526" s="145"/>
      <c r="P526" s="145"/>
      <c r="Q526" s="145"/>
      <c r="R526" s="145"/>
      <c r="S526" s="145"/>
      <c r="T526" s="145"/>
      <c r="U526" s="145"/>
      <c r="V526" s="145"/>
      <c r="W526" s="145"/>
      <c r="X526" s="145"/>
      <c r="Y526" s="145"/>
      <c r="Z526" s="145"/>
    </row>
    <row r="527" spans="1:26" ht="15.75" x14ac:dyDescent="0.25">
      <c r="A527" s="145"/>
      <c r="B527" s="145"/>
      <c r="C527" s="145"/>
      <c r="D527" s="145"/>
      <c r="E527" s="145"/>
      <c r="F527" s="145"/>
      <c r="G527" s="145"/>
      <c r="H527" s="145"/>
      <c r="I527" s="145"/>
      <c r="J527" s="145"/>
      <c r="K527" s="145"/>
      <c r="L527" s="145"/>
      <c r="M527" s="145"/>
      <c r="N527" s="145"/>
      <c r="O527" s="145"/>
      <c r="P527" s="145"/>
      <c r="Q527" s="145"/>
      <c r="R527" s="145"/>
      <c r="S527" s="145"/>
      <c r="T527" s="145"/>
      <c r="U527" s="145"/>
      <c r="V527" s="145"/>
      <c r="W527" s="145"/>
      <c r="X527" s="145"/>
      <c r="Y527" s="145"/>
      <c r="Z527" s="145"/>
    </row>
    <row r="528" spans="1:26" ht="15.75" x14ac:dyDescent="0.25">
      <c r="A528" s="145"/>
      <c r="B528" s="145"/>
      <c r="C528" s="145"/>
      <c r="D528" s="145"/>
      <c r="E528" s="145"/>
      <c r="F528" s="145"/>
      <c r="G528" s="145"/>
      <c r="H528" s="145"/>
      <c r="I528" s="145"/>
      <c r="J528" s="145"/>
      <c r="K528" s="145"/>
      <c r="L528" s="145"/>
      <c r="M528" s="145"/>
      <c r="N528" s="145"/>
      <c r="O528" s="145"/>
      <c r="P528" s="145"/>
      <c r="Q528" s="145"/>
      <c r="R528" s="145"/>
      <c r="S528" s="145"/>
      <c r="T528" s="145"/>
      <c r="U528" s="145"/>
      <c r="V528" s="145"/>
      <c r="W528" s="145"/>
      <c r="X528" s="145"/>
      <c r="Y528" s="145"/>
      <c r="Z528" s="145"/>
    </row>
    <row r="529" spans="1:26" ht="15.75" x14ac:dyDescent="0.25">
      <c r="A529" s="145"/>
      <c r="B529" s="145"/>
      <c r="C529" s="145"/>
      <c r="D529" s="145"/>
      <c r="E529" s="145"/>
      <c r="F529" s="145"/>
      <c r="G529" s="145"/>
      <c r="H529" s="145"/>
      <c r="I529" s="145"/>
      <c r="J529" s="145"/>
      <c r="K529" s="145"/>
      <c r="L529" s="145"/>
      <c r="M529" s="145"/>
      <c r="N529" s="145"/>
      <c r="O529" s="145"/>
      <c r="P529" s="145"/>
      <c r="Q529" s="145"/>
      <c r="R529" s="145"/>
      <c r="S529" s="145"/>
      <c r="T529" s="145"/>
      <c r="U529" s="145"/>
      <c r="V529" s="145"/>
      <c r="W529" s="145"/>
      <c r="X529" s="145"/>
      <c r="Y529" s="145"/>
      <c r="Z529" s="145"/>
    </row>
    <row r="530" spans="1:26" ht="15.75" x14ac:dyDescent="0.25">
      <c r="A530" s="145"/>
      <c r="B530" s="145"/>
      <c r="C530" s="145"/>
      <c r="D530" s="145"/>
      <c r="E530" s="145"/>
      <c r="F530" s="145"/>
      <c r="G530" s="145"/>
      <c r="H530" s="145"/>
      <c r="I530" s="145"/>
      <c r="J530" s="145"/>
      <c r="K530" s="145"/>
      <c r="L530" s="145"/>
      <c r="M530" s="145"/>
      <c r="N530" s="145"/>
      <c r="O530" s="145"/>
      <c r="P530" s="145"/>
      <c r="Q530" s="145"/>
      <c r="R530" s="145"/>
      <c r="S530" s="145"/>
      <c r="T530" s="145"/>
      <c r="U530" s="145"/>
      <c r="V530" s="145"/>
      <c r="W530" s="145"/>
      <c r="X530" s="145"/>
      <c r="Y530" s="145"/>
      <c r="Z530" s="145"/>
    </row>
    <row r="531" spans="1:26" ht="15.75" x14ac:dyDescent="0.25">
      <c r="A531" s="145"/>
      <c r="B531" s="145"/>
      <c r="C531" s="145"/>
      <c r="D531" s="145"/>
      <c r="E531" s="145"/>
      <c r="F531" s="145"/>
      <c r="G531" s="145"/>
      <c r="H531" s="145"/>
      <c r="I531" s="145"/>
      <c r="J531" s="145"/>
      <c r="K531" s="145"/>
      <c r="L531" s="145"/>
      <c r="M531" s="145"/>
      <c r="N531" s="145"/>
      <c r="O531" s="145"/>
      <c r="P531" s="145"/>
      <c r="Q531" s="145"/>
      <c r="R531" s="145"/>
      <c r="S531" s="145"/>
      <c r="T531" s="145"/>
      <c r="U531" s="145"/>
      <c r="V531" s="145"/>
      <c r="W531" s="145"/>
      <c r="X531" s="145"/>
      <c r="Y531" s="145"/>
      <c r="Z531" s="145"/>
    </row>
    <row r="532" spans="1:26" ht="15.75" x14ac:dyDescent="0.25">
      <c r="A532" s="145"/>
      <c r="B532" s="145"/>
      <c r="C532" s="145"/>
      <c r="D532" s="145"/>
      <c r="E532" s="145"/>
      <c r="F532" s="145"/>
      <c r="G532" s="145"/>
      <c r="H532" s="145"/>
      <c r="I532" s="145"/>
      <c r="J532" s="145"/>
      <c r="K532" s="145"/>
      <c r="L532" s="145"/>
      <c r="M532" s="145"/>
      <c r="N532" s="145"/>
      <c r="O532" s="145"/>
      <c r="P532" s="145"/>
      <c r="Q532" s="145"/>
      <c r="R532" s="145"/>
      <c r="S532" s="145"/>
      <c r="T532" s="145"/>
      <c r="U532" s="145"/>
      <c r="V532" s="145"/>
      <c r="W532" s="145"/>
      <c r="X532" s="145"/>
      <c r="Y532" s="145"/>
      <c r="Z532" s="145"/>
    </row>
    <row r="533" spans="1:26" ht="15.75" x14ac:dyDescent="0.25">
      <c r="A533" s="145"/>
      <c r="B533" s="145"/>
      <c r="C533" s="145"/>
      <c r="D533" s="145"/>
      <c r="E533" s="145"/>
      <c r="F533" s="145"/>
      <c r="G533" s="145"/>
      <c r="H533" s="145"/>
      <c r="I533" s="145"/>
      <c r="J533" s="145"/>
      <c r="K533" s="145"/>
      <c r="L533" s="145"/>
      <c r="M533" s="145"/>
      <c r="N533" s="145"/>
      <c r="O533" s="145"/>
      <c r="P533" s="145"/>
      <c r="Q533" s="145"/>
      <c r="R533" s="145"/>
      <c r="S533" s="145"/>
      <c r="T533" s="145"/>
      <c r="U533" s="145"/>
      <c r="V533" s="145"/>
      <c r="W533" s="145"/>
      <c r="X533" s="145"/>
      <c r="Y533" s="145"/>
      <c r="Z533" s="145"/>
    </row>
    <row r="534" spans="1:26" ht="15.75" x14ac:dyDescent="0.25">
      <c r="A534" s="145"/>
      <c r="B534" s="145"/>
      <c r="C534" s="145"/>
      <c r="D534" s="145"/>
      <c r="E534" s="145"/>
      <c r="F534" s="145"/>
      <c r="G534" s="145"/>
      <c r="H534" s="145"/>
      <c r="I534" s="145"/>
      <c r="J534" s="145"/>
      <c r="K534" s="145"/>
      <c r="L534" s="145"/>
      <c r="M534" s="145"/>
      <c r="N534" s="145"/>
      <c r="O534" s="145"/>
      <c r="P534" s="145"/>
      <c r="Q534" s="145"/>
      <c r="R534" s="145"/>
      <c r="S534" s="145"/>
      <c r="T534" s="145"/>
      <c r="U534" s="145"/>
      <c r="V534" s="145"/>
      <c r="W534" s="145"/>
      <c r="X534" s="145"/>
      <c r="Y534" s="145"/>
      <c r="Z534" s="145"/>
    </row>
    <row r="535" spans="1:26" ht="15.75" x14ac:dyDescent="0.25">
      <c r="A535" s="145"/>
      <c r="B535" s="145"/>
      <c r="C535" s="145"/>
      <c r="D535" s="145"/>
      <c r="E535" s="145"/>
      <c r="F535" s="145"/>
      <c r="G535" s="145"/>
      <c r="H535" s="145"/>
      <c r="I535" s="145"/>
      <c r="J535" s="145"/>
      <c r="K535" s="145"/>
      <c r="L535" s="145"/>
      <c r="M535" s="145"/>
      <c r="N535" s="145"/>
      <c r="O535" s="145"/>
      <c r="P535" s="145"/>
      <c r="Q535" s="145"/>
      <c r="R535" s="145"/>
      <c r="S535" s="145"/>
      <c r="T535" s="145"/>
      <c r="U535" s="145"/>
      <c r="V535" s="145"/>
      <c r="W535" s="145"/>
      <c r="X535" s="145"/>
      <c r="Y535" s="145"/>
      <c r="Z535" s="145"/>
    </row>
    <row r="536" spans="1:26" ht="15.75" x14ac:dyDescent="0.25">
      <c r="A536" s="145"/>
      <c r="B536" s="145"/>
      <c r="C536" s="145"/>
      <c r="D536" s="145"/>
      <c r="E536" s="145"/>
      <c r="F536" s="145"/>
      <c r="G536" s="145"/>
      <c r="H536" s="145"/>
      <c r="I536" s="145"/>
      <c r="J536" s="145"/>
      <c r="K536" s="145"/>
      <c r="L536" s="145"/>
      <c r="M536" s="145"/>
      <c r="N536" s="145"/>
      <c r="O536" s="145"/>
      <c r="P536" s="145"/>
      <c r="Q536" s="145"/>
      <c r="R536" s="145"/>
      <c r="S536" s="145"/>
      <c r="T536" s="145"/>
      <c r="U536" s="145"/>
      <c r="V536" s="145"/>
      <c r="W536" s="145"/>
      <c r="X536" s="145"/>
      <c r="Y536" s="145"/>
      <c r="Z536" s="145"/>
    </row>
    <row r="537" spans="1:26" ht="15.75" x14ac:dyDescent="0.25">
      <c r="A537" s="145"/>
      <c r="B537" s="145"/>
      <c r="C537" s="145"/>
      <c r="D537" s="145"/>
      <c r="E537" s="145"/>
      <c r="F537" s="145"/>
      <c r="G537" s="145"/>
      <c r="H537" s="145"/>
      <c r="I537" s="145"/>
      <c r="J537" s="145"/>
      <c r="K537" s="145"/>
      <c r="L537" s="145"/>
      <c r="M537" s="145"/>
      <c r="N537" s="145"/>
      <c r="O537" s="145"/>
      <c r="P537" s="145"/>
      <c r="Q537" s="145"/>
      <c r="R537" s="145"/>
      <c r="S537" s="145"/>
      <c r="T537" s="145"/>
      <c r="U537" s="145"/>
      <c r="V537" s="145"/>
      <c r="W537" s="145"/>
      <c r="X537" s="145"/>
      <c r="Y537" s="145"/>
      <c r="Z537" s="145"/>
    </row>
    <row r="538" spans="1:26" ht="15.75" x14ac:dyDescent="0.25">
      <c r="A538" s="145"/>
      <c r="B538" s="145"/>
      <c r="C538" s="145"/>
      <c r="D538" s="145"/>
      <c r="E538" s="145"/>
      <c r="F538" s="145"/>
      <c r="G538" s="145"/>
      <c r="H538" s="145"/>
      <c r="I538" s="145"/>
      <c r="J538" s="145"/>
      <c r="K538" s="145"/>
      <c r="L538" s="145"/>
      <c r="M538" s="145"/>
      <c r="N538" s="145"/>
      <c r="O538" s="145"/>
      <c r="P538" s="145"/>
      <c r="Q538" s="145"/>
      <c r="R538" s="145"/>
      <c r="S538" s="145"/>
      <c r="T538" s="145"/>
      <c r="U538" s="145"/>
      <c r="V538" s="145"/>
      <c r="W538" s="145"/>
      <c r="X538" s="145"/>
      <c r="Y538" s="145"/>
      <c r="Z538" s="145"/>
    </row>
    <row r="539" spans="1:26" ht="15.75" x14ac:dyDescent="0.25">
      <c r="A539" s="145"/>
      <c r="B539" s="145"/>
      <c r="C539" s="145"/>
      <c r="D539" s="145"/>
      <c r="E539" s="145"/>
      <c r="F539" s="145"/>
      <c r="G539" s="145"/>
      <c r="H539" s="145"/>
      <c r="I539" s="145"/>
      <c r="J539" s="145"/>
      <c r="K539" s="145"/>
      <c r="L539" s="145"/>
      <c r="M539" s="145"/>
      <c r="N539" s="145"/>
      <c r="O539" s="145"/>
      <c r="P539" s="145"/>
      <c r="Q539" s="145"/>
      <c r="R539" s="145"/>
      <c r="S539" s="145"/>
      <c r="T539" s="145"/>
      <c r="U539" s="145"/>
      <c r="V539" s="145"/>
      <c r="W539" s="145"/>
      <c r="X539" s="145"/>
      <c r="Y539" s="145"/>
      <c r="Z539" s="145"/>
    </row>
    <row r="540" spans="1:26" ht="15.75" x14ac:dyDescent="0.25">
      <c r="A540" s="145"/>
      <c r="B540" s="145"/>
      <c r="C540" s="145"/>
      <c r="D540" s="145"/>
      <c r="E540" s="145"/>
      <c r="F540" s="145"/>
      <c r="G540" s="145"/>
      <c r="H540" s="145"/>
      <c r="I540" s="145"/>
      <c r="J540" s="145"/>
      <c r="K540" s="145"/>
      <c r="L540" s="145"/>
      <c r="M540" s="145"/>
      <c r="N540" s="145"/>
      <c r="O540" s="145"/>
      <c r="P540" s="145"/>
      <c r="Q540" s="145"/>
      <c r="R540" s="145"/>
      <c r="S540" s="145"/>
      <c r="T540" s="145"/>
      <c r="U540" s="145"/>
      <c r="V540" s="145"/>
      <c r="W540" s="145"/>
      <c r="X540" s="145"/>
      <c r="Y540" s="145"/>
      <c r="Z540" s="145"/>
    </row>
    <row r="541" spans="1:26" ht="15.75" x14ac:dyDescent="0.25">
      <c r="A541" s="145"/>
      <c r="B541" s="145"/>
      <c r="C541" s="145"/>
      <c r="D541" s="145"/>
      <c r="E541" s="145"/>
      <c r="F541" s="145"/>
      <c r="G541" s="145"/>
      <c r="H541" s="145"/>
      <c r="I541" s="145"/>
      <c r="J541" s="145"/>
      <c r="K541" s="145"/>
      <c r="L541" s="145"/>
      <c r="M541" s="145"/>
      <c r="N541" s="145"/>
      <c r="O541" s="145"/>
      <c r="P541" s="145"/>
      <c r="Q541" s="145"/>
      <c r="R541" s="145"/>
      <c r="S541" s="145"/>
      <c r="T541" s="145"/>
      <c r="U541" s="145"/>
      <c r="V541" s="145"/>
      <c r="W541" s="145"/>
      <c r="X541" s="145"/>
      <c r="Y541" s="145"/>
      <c r="Z541" s="145"/>
    </row>
    <row r="542" spans="1:26" ht="15.75" x14ac:dyDescent="0.25">
      <c r="A542" s="145"/>
      <c r="B542" s="145"/>
      <c r="C542" s="145"/>
      <c r="D542" s="145"/>
      <c r="E542" s="145"/>
      <c r="F542" s="145"/>
      <c r="G542" s="145"/>
      <c r="H542" s="145"/>
      <c r="I542" s="145"/>
      <c r="J542" s="145"/>
      <c r="K542" s="145"/>
      <c r="L542" s="145"/>
      <c r="M542" s="145"/>
      <c r="N542" s="145"/>
      <c r="O542" s="145"/>
      <c r="P542" s="145"/>
      <c r="Q542" s="145"/>
      <c r="R542" s="145"/>
      <c r="S542" s="145"/>
      <c r="T542" s="145"/>
      <c r="U542" s="145"/>
      <c r="V542" s="145"/>
      <c r="W542" s="145"/>
      <c r="X542" s="145"/>
      <c r="Y542" s="145"/>
      <c r="Z542" s="145"/>
    </row>
    <row r="543" spans="1:26" ht="15.75" x14ac:dyDescent="0.25">
      <c r="A543" s="145"/>
      <c r="B543" s="145"/>
      <c r="C543" s="145"/>
      <c r="D543" s="145"/>
      <c r="E543" s="145"/>
      <c r="F543" s="145"/>
      <c r="G543" s="145"/>
      <c r="H543" s="145"/>
      <c r="I543" s="145"/>
      <c r="J543" s="145"/>
      <c r="K543" s="145"/>
      <c r="L543" s="145"/>
      <c r="M543" s="145"/>
      <c r="N543" s="145"/>
      <c r="O543" s="145"/>
      <c r="P543" s="145"/>
      <c r="Q543" s="145"/>
      <c r="R543" s="145"/>
      <c r="S543" s="145"/>
      <c r="T543" s="145"/>
      <c r="U543" s="145"/>
      <c r="V543" s="145"/>
      <c r="W543" s="145"/>
      <c r="X543" s="145"/>
      <c r="Y543" s="145"/>
      <c r="Z543" s="145"/>
    </row>
    <row r="544" spans="1:26" ht="15.75" x14ac:dyDescent="0.25">
      <c r="A544" s="145"/>
      <c r="B544" s="145"/>
      <c r="C544" s="145"/>
      <c r="D544" s="145"/>
      <c r="E544" s="145"/>
      <c r="F544" s="145"/>
      <c r="G544" s="145"/>
      <c r="H544" s="145"/>
      <c r="I544" s="145"/>
      <c r="J544" s="145"/>
      <c r="K544" s="145"/>
      <c r="L544" s="145"/>
      <c r="M544" s="145"/>
      <c r="N544" s="145"/>
      <c r="O544" s="145"/>
      <c r="P544" s="145"/>
      <c r="Q544" s="145"/>
      <c r="R544" s="145"/>
      <c r="S544" s="145"/>
      <c r="T544" s="145"/>
      <c r="U544" s="145"/>
      <c r="V544" s="145"/>
      <c r="W544" s="145"/>
      <c r="X544" s="145"/>
      <c r="Y544" s="145"/>
      <c r="Z544" s="145"/>
    </row>
    <row r="545" spans="1:26" ht="15.75" x14ac:dyDescent="0.25">
      <c r="A545" s="145"/>
      <c r="B545" s="145"/>
      <c r="C545" s="145"/>
      <c r="D545" s="145"/>
      <c r="E545" s="145"/>
      <c r="F545" s="145"/>
      <c r="G545" s="145"/>
      <c r="H545" s="145"/>
      <c r="I545" s="145"/>
      <c r="J545" s="145"/>
      <c r="K545" s="145"/>
      <c r="L545" s="145"/>
      <c r="M545" s="145"/>
      <c r="N545" s="145"/>
      <c r="O545" s="145"/>
      <c r="P545" s="145"/>
      <c r="Q545" s="145"/>
      <c r="R545" s="145"/>
      <c r="S545" s="145"/>
      <c r="T545" s="145"/>
      <c r="U545" s="145"/>
      <c r="V545" s="145"/>
      <c r="W545" s="145"/>
      <c r="X545" s="145"/>
      <c r="Y545" s="145"/>
      <c r="Z545" s="145"/>
    </row>
    <row r="546" spans="1:26" ht="15.75" x14ac:dyDescent="0.25">
      <c r="A546" s="145"/>
      <c r="B546" s="145"/>
      <c r="C546" s="145"/>
      <c r="D546" s="145"/>
      <c r="E546" s="145"/>
      <c r="F546" s="145"/>
      <c r="G546" s="145"/>
      <c r="H546" s="145"/>
      <c r="I546" s="145"/>
      <c r="J546" s="145"/>
      <c r="K546" s="145"/>
      <c r="L546" s="145"/>
      <c r="M546" s="145"/>
      <c r="N546" s="145"/>
      <c r="O546" s="145"/>
      <c r="P546" s="145"/>
      <c r="Q546" s="145"/>
      <c r="R546" s="145"/>
      <c r="S546" s="145"/>
      <c r="T546" s="145"/>
      <c r="U546" s="145"/>
      <c r="V546" s="145"/>
      <c r="W546" s="145"/>
      <c r="X546" s="145"/>
      <c r="Y546" s="145"/>
      <c r="Z546" s="145"/>
    </row>
    <row r="547" spans="1:26" ht="15.75" x14ac:dyDescent="0.25">
      <c r="A547" s="145"/>
      <c r="B547" s="145"/>
      <c r="C547" s="145"/>
      <c r="D547" s="145"/>
      <c r="E547" s="145"/>
      <c r="F547" s="145"/>
      <c r="G547" s="145"/>
      <c r="H547" s="145"/>
      <c r="I547" s="145"/>
      <c r="J547" s="145"/>
      <c r="K547" s="145"/>
      <c r="L547" s="145"/>
      <c r="M547" s="145"/>
      <c r="N547" s="145"/>
      <c r="O547" s="145"/>
      <c r="P547" s="145"/>
      <c r="Q547" s="145"/>
      <c r="R547" s="145"/>
      <c r="S547" s="145"/>
      <c r="T547" s="145"/>
      <c r="U547" s="145"/>
      <c r="V547" s="145"/>
      <c r="W547" s="145"/>
      <c r="X547" s="145"/>
      <c r="Y547" s="145"/>
      <c r="Z547" s="145"/>
    </row>
    <row r="548" spans="1:26" ht="15.75" x14ac:dyDescent="0.25">
      <c r="A548" s="145"/>
      <c r="B548" s="145"/>
      <c r="C548" s="145"/>
      <c r="D548" s="145"/>
      <c r="E548" s="145"/>
      <c r="F548" s="145"/>
      <c r="G548" s="145"/>
      <c r="H548" s="145"/>
      <c r="I548" s="145"/>
      <c r="J548" s="145"/>
      <c r="K548" s="145"/>
      <c r="L548" s="145"/>
      <c r="M548" s="145"/>
      <c r="N548" s="145"/>
      <c r="O548" s="145"/>
      <c r="P548" s="145"/>
      <c r="Q548" s="145"/>
      <c r="R548" s="145"/>
      <c r="S548" s="145"/>
      <c r="T548" s="145"/>
      <c r="U548" s="145"/>
      <c r="V548" s="145"/>
      <c r="W548" s="145"/>
      <c r="X548" s="145"/>
      <c r="Y548" s="145"/>
      <c r="Z548" s="145"/>
    </row>
    <row r="549" spans="1:26" ht="15.75" x14ac:dyDescent="0.25">
      <c r="A549" s="145"/>
      <c r="B549" s="145"/>
      <c r="C549" s="145"/>
      <c r="D549" s="145"/>
      <c r="E549" s="145"/>
      <c r="F549" s="145"/>
      <c r="G549" s="145"/>
      <c r="H549" s="145"/>
      <c r="I549" s="145"/>
      <c r="J549" s="145"/>
      <c r="K549" s="145"/>
      <c r="L549" s="145"/>
      <c r="M549" s="145"/>
      <c r="N549" s="145"/>
      <c r="O549" s="145"/>
      <c r="P549" s="145"/>
      <c r="Q549" s="145"/>
      <c r="R549" s="145"/>
      <c r="S549" s="145"/>
      <c r="T549" s="145"/>
      <c r="U549" s="145"/>
      <c r="V549" s="145"/>
      <c r="W549" s="145"/>
      <c r="X549" s="145"/>
      <c r="Y549" s="145"/>
      <c r="Z549" s="145"/>
    </row>
    <row r="550" spans="1:26" ht="15.75" x14ac:dyDescent="0.25">
      <c r="A550" s="145"/>
      <c r="B550" s="145"/>
      <c r="C550" s="145"/>
      <c r="D550" s="145"/>
      <c r="E550" s="145"/>
      <c r="F550" s="145"/>
      <c r="G550" s="145"/>
      <c r="H550" s="145"/>
      <c r="I550" s="145"/>
      <c r="J550" s="145"/>
      <c r="K550" s="145"/>
      <c r="L550" s="145"/>
      <c r="M550" s="145"/>
      <c r="N550" s="145"/>
      <c r="O550" s="145"/>
      <c r="P550" s="145"/>
      <c r="Q550" s="145"/>
      <c r="R550" s="145"/>
      <c r="S550" s="145"/>
      <c r="T550" s="145"/>
      <c r="U550" s="145"/>
      <c r="V550" s="145"/>
      <c r="W550" s="145"/>
      <c r="X550" s="145"/>
      <c r="Y550" s="145"/>
      <c r="Z550" s="145"/>
    </row>
    <row r="551" spans="1:26" ht="15.75" x14ac:dyDescent="0.25">
      <c r="A551" s="145"/>
      <c r="B551" s="145"/>
      <c r="C551" s="145"/>
      <c r="D551" s="145"/>
      <c r="E551" s="145"/>
      <c r="F551" s="145"/>
      <c r="G551" s="145"/>
      <c r="H551" s="145"/>
      <c r="I551" s="145"/>
      <c r="J551" s="145"/>
      <c r="K551" s="145"/>
      <c r="L551" s="145"/>
      <c r="M551" s="145"/>
      <c r="N551" s="145"/>
      <c r="O551" s="145"/>
      <c r="P551" s="145"/>
      <c r="Q551" s="145"/>
      <c r="R551" s="145"/>
      <c r="S551" s="145"/>
      <c r="T551" s="145"/>
      <c r="U551" s="145"/>
      <c r="V551" s="145"/>
      <c r="W551" s="145"/>
      <c r="X551" s="145"/>
      <c r="Y551" s="145"/>
      <c r="Z551" s="145"/>
    </row>
    <row r="552" spans="1:26" ht="15.75" x14ac:dyDescent="0.25">
      <c r="A552" s="145"/>
      <c r="B552" s="145"/>
      <c r="C552" s="145"/>
      <c r="D552" s="145"/>
      <c r="E552" s="145"/>
      <c r="F552" s="145"/>
      <c r="G552" s="145"/>
      <c r="H552" s="145"/>
      <c r="I552" s="145"/>
      <c r="J552" s="145"/>
      <c r="K552" s="145"/>
      <c r="L552" s="145"/>
      <c r="M552" s="145"/>
      <c r="N552" s="145"/>
      <c r="O552" s="145"/>
      <c r="P552" s="145"/>
      <c r="Q552" s="145"/>
      <c r="R552" s="145"/>
      <c r="S552" s="145"/>
      <c r="T552" s="145"/>
      <c r="U552" s="145"/>
      <c r="V552" s="145"/>
      <c r="W552" s="145"/>
      <c r="X552" s="145"/>
      <c r="Y552" s="145"/>
      <c r="Z552" s="145"/>
    </row>
    <row r="553" spans="1:26" ht="15.75" x14ac:dyDescent="0.25">
      <c r="A553" s="145"/>
      <c r="B553" s="145"/>
      <c r="C553" s="145"/>
      <c r="D553" s="145"/>
      <c r="E553" s="145"/>
      <c r="F553" s="145"/>
      <c r="G553" s="145"/>
      <c r="H553" s="145"/>
      <c r="I553" s="145"/>
      <c r="J553" s="145"/>
      <c r="K553" s="145"/>
      <c r="L553" s="145"/>
      <c r="M553" s="145"/>
      <c r="N553" s="145"/>
      <c r="O553" s="145"/>
      <c r="P553" s="145"/>
      <c r="Q553" s="145"/>
      <c r="R553" s="145"/>
      <c r="S553" s="145"/>
      <c r="T553" s="145"/>
      <c r="U553" s="145"/>
      <c r="V553" s="145"/>
      <c r="W553" s="145"/>
      <c r="X553" s="145"/>
      <c r="Y553" s="145"/>
      <c r="Z553" s="145"/>
    </row>
    <row r="554" spans="1:26" ht="15.75" x14ac:dyDescent="0.25">
      <c r="A554" s="145"/>
      <c r="B554" s="145"/>
      <c r="C554" s="145"/>
      <c r="D554" s="145"/>
      <c r="E554" s="145"/>
      <c r="F554" s="145"/>
      <c r="G554" s="145"/>
      <c r="H554" s="145"/>
      <c r="I554" s="145"/>
      <c r="J554" s="145"/>
      <c r="K554" s="145"/>
      <c r="L554" s="145"/>
      <c r="M554" s="145"/>
      <c r="N554" s="145"/>
      <c r="O554" s="145"/>
      <c r="P554" s="145"/>
      <c r="Q554" s="145"/>
      <c r="R554" s="145"/>
      <c r="S554" s="145"/>
      <c r="T554" s="145"/>
      <c r="U554" s="145"/>
      <c r="V554" s="145"/>
      <c r="W554" s="145"/>
      <c r="X554" s="145"/>
      <c r="Y554" s="145"/>
      <c r="Z554" s="145"/>
    </row>
    <row r="555" spans="1:26" ht="15.75" x14ac:dyDescent="0.25">
      <c r="A555" s="145"/>
      <c r="B555" s="145"/>
      <c r="C555" s="145"/>
      <c r="D555" s="145"/>
      <c r="E555" s="145"/>
      <c r="F555" s="145"/>
      <c r="G555" s="145"/>
      <c r="H555" s="145"/>
      <c r="I555" s="145"/>
      <c r="J555" s="145"/>
      <c r="K555" s="145"/>
      <c r="L555" s="145"/>
      <c r="M555" s="145"/>
      <c r="N555" s="145"/>
      <c r="O555" s="145"/>
      <c r="P555" s="145"/>
      <c r="Q555" s="145"/>
      <c r="R555" s="145"/>
      <c r="S555" s="145"/>
      <c r="T555" s="145"/>
      <c r="U555" s="145"/>
      <c r="V555" s="145"/>
      <c r="W555" s="145"/>
      <c r="X555" s="145"/>
      <c r="Y555" s="145"/>
      <c r="Z555" s="145"/>
    </row>
    <row r="556" spans="1:26" ht="15.75" x14ac:dyDescent="0.25">
      <c r="A556" s="145"/>
      <c r="B556" s="145"/>
      <c r="C556" s="145"/>
      <c r="D556" s="145"/>
      <c r="E556" s="145"/>
      <c r="F556" s="145"/>
      <c r="G556" s="145"/>
      <c r="H556" s="145"/>
      <c r="I556" s="145"/>
      <c r="J556" s="145"/>
      <c r="K556" s="145"/>
      <c r="L556" s="145"/>
      <c r="M556" s="145"/>
      <c r="N556" s="145"/>
      <c r="O556" s="145"/>
      <c r="P556" s="145"/>
      <c r="Q556" s="145"/>
      <c r="R556" s="145"/>
      <c r="S556" s="145"/>
      <c r="T556" s="145"/>
      <c r="U556" s="145"/>
      <c r="V556" s="145"/>
      <c r="W556" s="145"/>
      <c r="X556" s="145"/>
      <c r="Y556" s="145"/>
      <c r="Z556" s="145"/>
    </row>
    <row r="557" spans="1:26" ht="15.75" x14ac:dyDescent="0.25">
      <c r="A557" s="145"/>
      <c r="B557" s="145"/>
      <c r="C557" s="145"/>
      <c r="D557" s="145"/>
      <c r="E557" s="145"/>
      <c r="F557" s="145"/>
      <c r="G557" s="145"/>
      <c r="H557" s="145"/>
      <c r="I557" s="145"/>
      <c r="J557" s="145"/>
      <c r="K557" s="145"/>
      <c r="L557" s="145"/>
      <c r="M557" s="145"/>
      <c r="N557" s="145"/>
      <c r="O557" s="145"/>
      <c r="P557" s="145"/>
      <c r="Q557" s="145"/>
      <c r="R557" s="145"/>
      <c r="S557" s="145"/>
      <c r="T557" s="145"/>
      <c r="U557" s="145"/>
      <c r="V557" s="145"/>
      <c r="W557" s="145"/>
      <c r="X557" s="145"/>
      <c r="Y557" s="145"/>
      <c r="Z557" s="145"/>
    </row>
    <row r="558" spans="1:26" ht="15.75" x14ac:dyDescent="0.25">
      <c r="A558" s="145"/>
      <c r="B558" s="145"/>
      <c r="C558" s="145"/>
      <c r="D558" s="145"/>
      <c r="E558" s="145"/>
      <c r="F558" s="145"/>
      <c r="G558" s="145"/>
      <c r="H558" s="145"/>
      <c r="I558" s="145"/>
      <c r="J558" s="145"/>
      <c r="K558" s="145"/>
      <c r="L558" s="145"/>
      <c r="M558" s="145"/>
      <c r="N558" s="145"/>
      <c r="O558" s="145"/>
      <c r="P558" s="145"/>
      <c r="Q558" s="145"/>
      <c r="R558" s="145"/>
      <c r="S558" s="145"/>
      <c r="T558" s="145"/>
      <c r="U558" s="145"/>
      <c r="V558" s="145"/>
      <c r="W558" s="145"/>
      <c r="X558" s="145"/>
      <c r="Y558" s="145"/>
      <c r="Z558" s="145"/>
    </row>
    <row r="559" spans="1:26" ht="15.75" x14ac:dyDescent="0.25">
      <c r="A559" s="145"/>
      <c r="B559" s="145"/>
      <c r="C559" s="145"/>
      <c r="D559" s="145"/>
      <c r="E559" s="145"/>
      <c r="F559" s="145"/>
      <c r="G559" s="145"/>
      <c r="H559" s="145"/>
      <c r="I559" s="145"/>
      <c r="J559" s="145"/>
      <c r="K559" s="145"/>
      <c r="L559" s="145"/>
      <c r="M559" s="145"/>
      <c r="N559" s="145"/>
      <c r="O559" s="145"/>
      <c r="P559" s="145"/>
      <c r="Q559" s="145"/>
      <c r="R559" s="145"/>
      <c r="S559" s="145"/>
      <c r="T559" s="145"/>
      <c r="U559" s="145"/>
      <c r="V559" s="145"/>
      <c r="W559" s="145"/>
      <c r="X559" s="145"/>
      <c r="Y559" s="145"/>
      <c r="Z559" s="145"/>
    </row>
    <row r="560" spans="1:26" ht="15.75" x14ac:dyDescent="0.25">
      <c r="A560" s="145"/>
      <c r="B560" s="145"/>
      <c r="C560" s="145"/>
      <c r="D560" s="145"/>
      <c r="E560" s="145"/>
      <c r="F560" s="145"/>
      <c r="G560" s="145"/>
      <c r="H560" s="145"/>
      <c r="I560" s="145"/>
      <c r="J560" s="145"/>
      <c r="K560" s="145"/>
      <c r="L560" s="145"/>
      <c r="M560" s="145"/>
      <c r="N560" s="145"/>
      <c r="O560" s="145"/>
      <c r="P560" s="145"/>
      <c r="Q560" s="145"/>
      <c r="R560" s="145"/>
      <c r="S560" s="145"/>
      <c r="T560" s="145"/>
      <c r="U560" s="145"/>
      <c r="V560" s="145"/>
      <c r="W560" s="145"/>
      <c r="X560" s="145"/>
      <c r="Y560" s="145"/>
      <c r="Z560" s="145"/>
    </row>
    <row r="561" spans="1:26" ht="15.75" x14ac:dyDescent="0.25">
      <c r="A561" s="145"/>
      <c r="B561" s="145"/>
      <c r="C561" s="145"/>
      <c r="D561" s="145"/>
      <c r="E561" s="145"/>
      <c r="F561" s="145"/>
      <c r="G561" s="145"/>
      <c r="H561" s="145"/>
      <c r="I561" s="145"/>
      <c r="J561" s="145"/>
      <c r="K561" s="145"/>
      <c r="L561" s="145"/>
      <c r="M561" s="145"/>
      <c r="N561" s="145"/>
      <c r="O561" s="145"/>
      <c r="P561" s="145"/>
      <c r="Q561" s="145"/>
      <c r="R561" s="145"/>
      <c r="S561" s="145"/>
      <c r="T561" s="145"/>
      <c r="U561" s="145"/>
      <c r="V561" s="145"/>
      <c r="W561" s="145"/>
      <c r="X561" s="145"/>
      <c r="Y561" s="145"/>
      <c r="Z561" s="145"/>
    </row>
    <row r="562" spans="1:26" ht="15.75" x14ac:dyDescent="0.25">
      <c r="A562" s="145"/>
      <c r="B562" s="145"/>
      <c r="C562" s="145"/>
      <c r="D562" s="145"/>
      <c r="E562" s="145"/>
      <c r="F562" s="145"/>
      <c r="G562" s="145"/>
      <c r="H562" s="145"/>
      <c r="I562" s="145"/>
      <c r="J562" s="145"/>
      <c r="K562" s="145"/>
      <c r="L562" s="145"/>
      <c r="M562" s="145"/>
      <c r="N562" s="145"/>
      <c r="O562" s="145"/>
      <c r="P562" s="145"/>
      <c r="Q562" s="145"/>
      <c r="R562" s="145"/>
      <c r="S562" s="145"/>
      <c r="T562" s="145"/>
      <c r="U562" s="145"/>
      <c r="V562" s="145"/>
      <c r="W562" s="145"/>
      <c r="X562" s="145"/>
      <c r="Y562" s="145"/>
      <c r="Z562" s="145"/>
    </row>
    <row r="563" spans="1:26" ht="15.75" x14ac:dyDescent="0.25">
      <c r="A563" s="145"/>
      <c r="B563" s="145"/>
      <c r="C563" s="145"/>
      <c r="D563" s="145"/>
      <c r="E563" s="145"/>
      <c r="F563" s="145"/>
      <c r="G563" s="145"/>
      <c r="H563" s="145"/>
      <c r="I563" s="145"/>
      <c r="J563" s="145"/>
      <c r="K563" s="145"/>
      <c r="L563" s="145"/>
      <c r="M563" s="145"/>
      <c r="N563" s="145"/>
      <c r="O563" s="145"/>
      <c r="P563" s="145"/>
      <c r="Q563" s="145"/>
      <c r="R563" s="145"/>
      <c r="S563" s="145"/>
      <c r="T563" s="145"/>
      <c r="U563" s="145"/>
      <c r="V563" s="145"/>
      <c r="W563" s="145"/>
      <c r="X563" s="145"/>
      <c r="Y563" s="145"/>
      <c r="Z563" s="145"/>
    </row>
    <row r="564" spans="1:26" ht="15.75" x14ac:dyDescent="0.25">
      <c r="A564" s="145"/>
      <c r="B564" s="145"/>
      <c r="C564" s="145"/>
      <c r="D564" s="145"/>
      <c r="E564" s="145"/>
      <c r="F564" s="145"/>
      <c r="G564" s="145"/>
      <c r="H564" s="145"/>
      <c r="I564" s="145"/>
      <c r="J564" s="145"/>
      <c r="K564" s="145"/>
      <c r="L564" s="145"/>
      <c r="M564" s="145"/>
      <c r="N564" s="145"/>
      <c r="O564" s="145"/>
      <c r="P564" s="145"/>
      <c r="Q564" s="145"/>
      <c r="R564" s="145"/>
      <c r="S564" s="145"/>
      <c r="T564" s="145"/>
      <c r="U564" s="145"/>
      <c r="V564" s="145"/>
      <c r="W564" s="145"/>
      <c r="X564" s="145"/>
      <c r="Y564" s="145"/>
      <c r="Z564" s="145"/>
    </row>
    <row r="565" spans="1:26" ht="15.75" x14ac:dyDescent="0.25">
      <c r="A565" s="145"/>
      <c r="B565" s="145"/>
      <c r="C565" s="145"/>
      <c r="D565" s="145"/>
      <c r="E565" s="145"/>
      <c r="F565" s="145"/>
      <c r="G565" s="145"/>
      <c r="H565" s="145"/>
      <c r="I565" s="145"/>
      <c r="J565" s="145"/>
      <c r="K565" s="145"/>
      <c r="L565" s="145"/>
      <c r="M565" s="145"/>
      <c r="N565" s="145"/>
      <c r="O565" s="145"/>
      <c r="P565" s="145"/>
      <c r="Q565" s="145"/>
      <c r="R565" s="145"/>
      <c r="S565" s="145"/>
      <c r="T565" s="145"/>
      <c r="U565" s="145"/>
      <c r="V565" s="145"/>
      <c r="W565" s="145"/>
      <c r="X565" s="145"/>
      <c r="Y565" s="145"/>
      <c r="Z565" s="145"/>
    </row>
    <row r="566" spans="1:26" ht="15.75" x14ac:dyDescent="0.25">
      <c r="A566" s="145"/>
      <c r="B566" s="145"/>
      <c r="C566" s="145"/>
      <c r="D566" s="145"/>
      <c r="E566" s="145"/>
      <c r="F566" s="145"/>
      <c r="G566" s="145"/>
      <c r="H566" s="145"/>
      <c r="I566" s="145"/>
      <c r="J566" s="145"/>
      <c r="K566" s="145"/>
      <c r="L566" s="145"/>
      <c r="M566" s="145"/>
      <c r="N566" s="145"/>
      <c r="O566" s="145"/>
      <c r="P566" s="145"/>
      <c r="Q566" s="145"/>
      <c r="R566" s="145"/>
      <c r="S566" s="145"/>
      <c r="T566" s="145"/>
      <c r="U566" s="145"/>
      <c r="V566" s="145"/>
      <c r="W566" s="145"/>
      <c r="X566" s="145"/>
      <c r="Y566" s="145"/>
      <c r="Z566" s="145"/>
    </row>
    <row r="567" spans="1:26" ht="15.75" x14ac:dyDescent="0.25">
      <c r="A567" s="145"/>
      <c r="B567" s="145"/>
      <c r="C567" s="145"/>
      <c r="D567" s="145"/>
      <c r="E567" s="145"/>
      <c r="F567" s="145"/>
      <c r="G567" s="145"/>
      <c r="H567" s="145"/>
      <c r="I567" s="145"/>
      <c r="J567" s="145"/>
      <c r="K567" s="145"/>
      <c r="L567" s="145"/>
      <c r="M567" s="145"/>
      <c r="N567" s="145"/>
      <c r="O567" s="145"/>
      <c r="P567" s="145"/>
      <c r="Q567" s="145"/>
      <c r="R567" s="145"/>
      <c r="S567" s="145"/>
      <c r="T567" s="145"/>
      <c r="U567" s="145"/>
      <c r="V567" s="145"/>
      <c r="W567" s="145"/>
      <c r="X567" s="145"/>
      <c r="Y567" s="145"/>
      <c r="Z567" s="145"/>
    </row>
    <row r="568" spans="1:26" ht="15.75" x14ac:dyDescent="0.25">
      <c r="A568" s="145"/>
      <c r="B568" s="145"/>
      <c r="C568" s="145"/>
      <c r="D568" s="145"/>
      <c r="E568" s="145"/>
      <c r="F568" s="145"/>
      <c r="G568" s="145"/>
      <c r="H568" s="145"/>
      <c r="I568" s="145"/>
      <c r="J568" s="145"/>
      <c r="K568" s="145"/>
      <c r="L568" s="145"/>
      <c r="M568" s="145"/>
      <c r="N568" s="145"/>
      <c r="O568" s="145"/>
      <c r="P568" s="145"/>
      <c r="Q568" s="145"/>
      <c r="R568" s="145"/>
      <c r="S568" s="145"/>
      <c r="T568" s="145"/>
      <c r="U568" s="145"/>
      <c r="V568" s="145"/>
      <c r="W568" s="145"/>
      <c r="X568" s="145"/>
      <c r="Y568" s="145"/>
      <c r="Z568" s="145"/>
    </row>
    <row r="569" spans="1:26" ht="15.75" x14ac:dyDescent="0.25">
      <c r="A569" s="145"/>
      <c r="B569" s="145"/>
      <c r="C569" s="145"/>
      <c r="D569" s="145"/>
      <c r="E569" s="145"/>
      <c r="F569" s="145"/>
      <c r="G569" s="145"/>
      <c r="H569" s="145"/>
      <c r="I569" s="145"/>
      <c r="J569" s="145"/>
      <c r="K569" s="145"/>
      <c r="L569" s="145"/>
      <c r="M569" s="145"/>
      <c r="N569" s="145"/>
      <c r="O569" s="145"/>
      <c r="P569" s="145"/>
      <c r="Q569" s="145"/>
      <c r="R569" s="145"/>
      <c r="S569" s="145"/>
      <c r="T569" s="145"/>
      <c r="U569" s="145"/>
      <c r="V569" s="145"/>
      <c r="W569" s="145"/>
      <c r="X569" s="145"/>
      <c r="Y569" s="145"/>
      <c r="Z569" s="145"/>
    </row>
    <row r="570" spans="1:26" ht="15.75" x14ac:dyDescent="0.25">
      <c r="A570" s="145"/>
      <c r="B570" s="145"/>
      <c r="C570" s="145"/>
      <c r="D570" s="145"/>
      <c r="E570" s="145"/>
      <c r="F570" s="145"/>
      <c r="G570" s="145"/>
      <c r="H570" s="145"/>
      <c r="I570" s="145"/>
      <c r="J570" s="145"/>
      <c r="K570" s="145"/>
      <c r="L570" s="145"/>
      <c r="M570" s="145"/>
      <c r="N570" s="145"/>
      <c r="O570" s="145"/>
      <c r="P570" s="145"/>
      <c r="Q570" s="145"/>
      <c r="R570" s="145"/>
      <c r="S570" s="145"/>
      <c r="T570" s="145"/>
      <c r="U570" s="145"/>
      <c r="V570" s="145"/>
      <c r="W570" s="145"/>
      <c r="X570" s="145"/>
      <c r="Y570" s="145"/>
      <c r="Z570" s="145"/>
    </row>
    <row r="571" spans="1:26" ht="15.75" x14ac:dyDescent="0.25">
      <c r="A571" s="145"/>
      <c r="B571" s="145"/>
      <c r="C571" s="145"/>
      <c r="D571" s="145"/>
      <c r="E571" s="145"/>
      <c r="F571" s="145"/>
      <c r="G571" s="145"/>
      <c r="H571" s="145"/>
      <c r="I571" s="145"/>
      <c r="J571" s="145"/>
      <c r="K571" s="145"/>
      <c r="L571" s="145"/>
      <c r="M571" s="145"/>
      <c r="N571" s="145"/>
      <c r="O571" s="145"/>
      <c r="P571" s="145"/>
      <c r="Q571" s="145"/>
      <c r="R571" s="145"/>
      <c r="S571" s="145"/>
      <c r="T571" s="145"/>
      <c r="U571" s="145"/>
      <c r="V571" s="145"/>
      <c r="W571" s="145"/>
      <c r="X571" s="145"/>
      <c r="Y571" s="145"/>
      <c r="Z571" s="145"/>
    </row>
    <row r="572" spans="1:26" ht="15.75" x14ac:dyDescent="0.25">
      <c r="A572" s="145"/>
      <c r="B572" s="145"/>
      <c r="C572" s="145"/>
      <c r="D572" s="145"/>
      <c r="E572" s="145"/>
      <c r="F572" s="145"/>
      <c r="G572" s="145"/>
      <c r="H572" s="145"/>
      <c r="I572" s="145"/>
      <c r="J572" s="145"/>
      <c r="K572" s="145"/>
      <c r="L572" s="145"/>
      <c r="M572" s="145"/>
      <c r="N572" s="145"/>
      <c r="O572" s="145"/>
      <c r="P572" s="145"/>
      <c r="Q572" s="145"/>
      <c r="R572" s="145"/>
      <c r="S572" s="145"/>
      <c r="T572" s="145"/>
      <c r="U572" s="145"/>
      <c r="V572" s="145"/>
      <c r="W572" s="145"/>
      <c r="X572" s="145"/>
      <c r="Y572" s="145"/>
      <c r="Z572" s="145"/>
    </row>
    <row r="573" spans="1:26" ht="15.75" x14ac:dyDescent="0.25">
      <c r="A573" s="145"/>
      <c r="B573" s="145"/>
      <c r="C573" s="145"/>
      <c r="D573" s="145"/>
      <c r="E573" s="145"/>
      <c r="F573" s="145"/>
      <c r="G573" s="145"/>
      <c r="H573" s="145"/>
      <c r="I573" s="145"/>
      <c r="J573" s="145"/>
      <c r="K573" s="145"/>
      <c r="L573" s="145"/>
      <c r="M573" s="145"/>
      <c r="N573" s="145"/>
      <c r="O573" s="145"/>
      <c r="P573" s="145"/>
      <c r="Q573" s="145"/>
      <c r="R573" s="145"/>
      <c r="S573" s="145"/>
      <c r="T573" s="145"/>
      <c r="U573" s="145"/>
      <c r="V573" s="145"/>
      <c r="W573" s="145"/>
      <c r="X573" s="145"/>
      <c r="Y573" s="145"/>
      <c r="Z573" s="145"/>
    </row>
    <row r="574" spans="1:26" ht="15.75" x14ac:dyDescent="0.25">
      <c r="A574" s="145"/>
      <c r="B574" s="145"/>
      <c r="C574" s="145"/>
      <c r="D574" s="145"/>
      <c r="E574" s="145"/>
      <c r="F574" s="145"/>
      <c r="G574" s="145"/>
      <c r="H574" s="145"/>
      <c r="I574" s="145"/>
      <c r="J574" s="145"/>
      <c r="K574" s="145"/>
      <c r="L574" s="145"/>
      <c r="M574" s="145"/>
      <c r="N574" s="145"/>
      <c r="O574" s="145"/>
      <c r="P574" s="145"/>
      <c r="Q574" s="145"/>
      <c r="R574" s="145"/>
      <c r="S574" s="145"/>
      <c r="T574" s="145"/>
      <c r="U574" s="145"/>
      <c r="V574" s="145"/>
      <c r="W574" s="145"/>
      <c r="X574" s="145"/>
      <c r="Y574" s="145"/>
      <c r="Z574" s="145"/>
    </row>
    <row r="575" spans="1:26" ht="15.75" x14ac:dyDescent="0.25">
      <c r="A575" s="145"/>
      <c r="B575" s="145"/>
      <c r="C575" s="145"/>
      <c r="D575" s="145"/>
      <c r="E575" s="145"/>
      <c r="F575" s="145"/>
      <c r="G575" s="145"/>
      <c r="H575" s="145"/>
      <c r="I575" s="145"/>
      <c r="J575" s="145"/>
      <c r="K575" s="145"/>
      <c r="L575" s="145"/>
      <c r="M575" s="145"/>
      <c r="N575" s="145"/>
      <c r="O575" s="145"/>
      <c r="P575" s="145"/>
      <c r="Q575" s="145"/>
      <c r="R575" s="145"/>
      <c r="S575" s="145"/>
      <c r="T575" s="145"/>
      <c r="U575" s="145"/>
      <c r="V575" s="145"/>
      <c r="W575" s="145"/>
      <c r="X575" s="145"/>
      <c r="Y575" s="145"/>
      <c r="Z575" s="145"/>
    </row>
    <row r="576" spans="1:26" ht="15.75" x14ac:dyDescent="0.25">
      <c r="A576" s="145"/>
      <c r="B576" s="145"/>
      <c r="C576" s="145"/>
      <c r="D576" s="145"/>
      <c r="E576" s="145"/>
      <c r="F576" s="145"/>
      <c r="G576" s="145"/>
      <c r="H576" s="145"/>
      <c r="I576" s="145"/>
      <c r="J576" s="145"/>
      <c r="K576" s="145"/>
      <c r="L576" s="145"/>
      <c r="M576" s="145"/>
      <c r="N576" s="145"/>
      <c r="O576" s="145"/>
      <c r="P576" s="145"/>
      <c r="Q576" s="145"/>
      <c r="R576" s="145"/>
      <c r="S576" s="145"/>
      <c r="T576" s="145"/>
      <c r="U576" s="145"/>
      <c r="V576" s="145"/>
      <c r="W576" s="145"/>
      <c r="X576" s="145"/>
      <c r="Y576" s="145"/>
      <c r="Z576" s="145"/>
    </row>
    <row r="577" spans="1:26" ht="15.75" x14ac:dyDescent="0.25">
      <c r="A577" s="145"/>
      <c r="B577" s="145"/>
      <c r="C577" s="145"/>
      <c r="D577" s="145"/>
      <c r="E577" s="145"/>
      <c r="F577" s="145"/>
      <c r="G577" s="145"/>
      <c r="H577" s="145"/>
      <c r="I577" s="145"/>
      <c r="J577" s="145"/>
      <c r="K577" s="145"/>
      <c r="L577" s="145"/>
      <c r="M577" s="145"/>
      <c r="N577" s="145"/>
      <c r="O577" s="145"/>
      <c r="P577" s="145"/>
      <c r="Q577" s="145"/>
      <c r="R577" s="145"/>
      <c r="S577" s="145"/>
      <c r="T577" s="145"/>
      <c r="U577" s="145"/>
      <c r="V577" s="145"/>
      <c r="W577" s="145"/>
      <c r="X577" s="145"/>
      <c r="Y577" s="145"/>
      <c r="Z577" s="145"/>
    </row>
    <row r="578" spans="1:26" ht="15.75" x14ac:dyDescent="0.25">
      <c r="A578" s="145"/>
      <c r="B578" s="145"/>
      <c r="C578" s="145"/>
      <c r="D578" s="145"/>
      <c r="E578" s="145"/>
      <c r="F578" s="145"/>
      <c r="G578" s="145"/>
      <c r="H578" s="145"/>
      <c r="I578" s="145"/>
      <c r="J578" s="145"/>
      <c r="K578" s="145"/>
      <c r="L578" s="145"/>
      <c r="M578" s="145"/>
      <c r="N578" s="145"/>
      <c r="O578" s="145"/>
      <c r="P578" s="145"/>
      <c r="Q578" s="145"/>
      <c r="R578" s="145"/>
      <c r="S578" s="145"/>
      <c r="T578" s="145"/>
      <c r="U578" s="145"/>
      <c r="V578" s="145"/>
      <c r="W578" s="145"/>
      <c r="X578" s="145"/>
      <c r="Y578" s="145"/>
      <c r="Z578" s="145"/>
    </row>
    <row r="579" spans="1:26" ht="15.75" x14ac:dyDescent="0.25">
      <c r="A579" s="145"/>
      <c r="B579" s="145"/>
      <c r="C579" s="145"/>
      <c r="D579" s="145"/>
      <c r="E579" s="145"/>
      <c r="F579" s="145"/>
      <c r="G579" s="145"/>
      <c r="H579" s="145"/>
      <c r="I579" s="145"/>
      <c r="J579" s="145"/>
      <c r="K579" s="145"/>
      <c r="L579" s="145"/>
      <c r="M579" s="145"/>
      <c r="N579" s="145"/>
      <c r="O579" s="145"/>
      <c r="P579" s="145"/>
      <c r="Q579" s="145"/>
      <c r="R579" s="145"/>
      <c r="S579" s="145"/>
      <c r="T579" s="145"/>
      <c r="U579" s="145"/>
      <c r="V579" s="145"/>
      <c r="W579" s="145"/>
      <c r="X579" s="145"/>
      <c r="Y579" s="145"/>
      <c r="Z579" s="145"/>
    </row>
    <row r="580" spans="1:26" ht="15.75" x14ac:dyDescent="0.25">
      <c r="A580" s="145"/>
      <c r="B580" s="145"/>
      <c r="C580" s="145"/>
      <c r="D580" s="145"/>
      <c r="E580" s="145"/>
      <c r="F580" s="145"/>
      <c r="G580" s="145"/>
      <c r="H580" s="145"/>
      <c r="I580" s="145"/>
      <c r="J580" s="145"/>
      <c r="K580" s="145"/>
      <c r="L580" s="145"/>
      <c r="M580" s="145"/>
      <c r="N580" s="145"/>
      <c r="O580" s="145"/>
      <c r="P580" s="145"/>
      <c r="Q580" s="145"/>
      <c r="R580" s="145"/>
      <c r="S580" s="145"/>
      <c r="T580" s="145"/>
      <c r="U580" s="145"/>
      <c r="V580" s="145"/>
      <c r="W580" s="145"/>
      <c r="X580" s="145"/>
      <c r="Y580" s="145"/>
      <c r="Z580" s="145"/>
    </row>
    <row r="581" spans="1:26" ht="15.75" x14ac:dyDescent="0.25">
      <c r="A581" s="145"/>
      <c r="B581" s="145"/>
      <c r="C581" s="145"/>
      <c r="D581" s="145"/>
      <c r="E581" s="145"/>
      <c r="F581" s="145"/>
      <c r="G581" s="145"/>
      <c r="H581" s="145"/>
      <c r="I581" s="145"/>
      <c r="J581" s="145"/>
      <c r="K581" s="145"/>
      <c r="L581" s="145"/>
      <c r="M581" s="145"/>
      <c r="N581" s="145"/>
      <c r="O581" s="145"/>
      <c r="P581" s="145"/>
      <c r="Q581" s="145"/>
      <c r="R581" s="145"/>
      <c r="S581" s="145"/>
      <c r="T581" s="145"/>
      <c r="U581" s="145"/>
      <c r="V581" s="145"/>
      <c r="W581" s="145"/>
      <c r="X581" s="145"/>
      <c r="Y581" s="145"/>
      <c r="Z581" s="145"/>
    </row>
    <row r="582" spans="1:26" ht="15.75" x14ac:dyDescent="0.25">
      <c r="A582" s="145"/>
      <c r="B582" s="145"/>
      <c r="C582" s="145"/>
      <c r="D582" s="145"/>
      <c r="E582" s="145"/>
      <c r="F582" s="145"/>
      <c r="G582" s="145"/>
      <c r="H582" s="145"/>
      <c r="I582" s="145"/>
      <c r="J582" s="145"/>
      <c r="K582" s="145"/>
      <c r="L582" s="145"/>
      <c r="M582" s="145"/>
      <c r="N582" s="145"/>
      <c r="O582" s="145"/>
      <c r="P582" s="145"/>
      <c r="Q582" s="145"/>
      <c r="R582" s="145"/>
      <c r="S582" s="145"/>
      <c r="T582" s="145"/>
      <c r="U582" s="145"/>
      <c r="V582" s="145"/>
      <c r="W582" s="145"/>
      <c r="X582" s="145"/>
      <c r="Y582" s="145"/>
      <c r="Z582" s="145"/>
    </row>
    <row r="583" spans="1:26" ht="15.75" x14ac:dyDescent="0.25">
      <c r="A583" s="145"/>
      <c r="B583" s="145"/>
      <c r="C583" s="145"/>
      <c r="D583" s="145"/>
      <c r="E583" s="145"/>
      <c r="F583" s="145"/>
      <c r="G583" s="145"/>
      <c r="H583" s="145"/>
      <c r="I583" s="145"/>
      <c r="J583" s="145"/>
      <c r="K583" s="145"/>
      <c r="L583" s="145"/>
      <c r="M583" s="145"/>
      <c r="N583" s="145"/>
      <c r="O583" s="145"/>
      <c r="P583" s="145"/>
      <c r="Q583" s="145"/>
      <c r="R583" s="145"/>
      <c r="S583" s="145"/>
      <c r="T583" s="145"/>
      <c r="U583" s="145"/>
      <c r="V583" s="145"/>
      <c r="W583" s="145"/>
      <c r="X583" s="145"/>
      <c r="Y583" s="145"/>
      <c r="Z583" s="145"/>
    </row>
    <row r="584" spans="1:26" ht="15.75" x14ac:dyDescent="0.25">
      <c r="A584" s="145"/>
      <c r="B584" s="145"/>
      <c r="C584" s="145"/>
      <c r="D584" s="145"/>
      <c r="E584" s="145"/>
      <c r="F584" s="145"/>
      <c r="G584" s="145"/>
      <c r="H584" s="145"/>
      <c r="I584" s="145"/>
      <c r="J584" s="145"/>
      <c r="K584" s="145"/>
      <c r="L584" s="145"/>
      <c r="M584" s="145"/>
      <c r="N584" s="145"/>
      <c r="O584" s="145"/>
      <c r="P584" s="145"/>
      <c r="Q584" s="145"/>
      <c r="R584" s="145"/>
      <c r="S584" s="145"/>
      <c r="T584" s="145"/>
      <c r="U584" s="145"/>
      <c r="V584" s="145"/>
      <c r="W584" s="145"/>
      <c r="X584" s="145"/>
      <c r="Y584" s="145"/>
      <c r="Z584" s="145"/>
    </row>
    <row r="585" spans="1:26" ht="15.75" x14ac:dyDescent="0.25">
      <c r="A585" s="145"/>
      <c r="B585" s="145"/>
      <c r="C585" s="145"/>
      <c r="D585" s="145"/>
      <c r="E585" s="145"/>
      <c r="F585" s="145"/>
      <c r="G585" s="145"/>
      <c r="H585" s="145"/>
      <c r="I585" s="145"/>
      <c r="J585" s="145"/>
      <c r="K585" s="145"/>
      <c r="L585" s="145"/>
      <c r="M585" s="145"/>
      <c r="N585" s="145"/>
      <c r="O585" s="145"/>
      <c r="P585" s="145"/>
      <c r="Q585" s="145"/>
      <c r="R585" s="145"/>
      <c r="S585" s="145"/>
      <c r="T585" s="145"/>
      <c r="U585" s="145"/>
      <c r="V585" s="145"/>
      <c r="W585" s="145"/>
      <c r="X585" s="145"/>
      <c r="Y585" s="145"/>
      <c r="Z585" s="145"/>
    </row>
    <row r="586" spans="1:26" ht="15.75" x14ac:dyDescent="0.25">
      <c r="A586" s="145"/>
      <c r="B586" s="145"/>
      <c r="C586" s="145"/>
      <c r="D586" s="145"/>
      <c r="E586" s="145"/>
      <c r="F586" s="145"/>
      <c r="G586" s="145"/>
      <c r="H586" s="145"/>
      <c r="I586" s="145"/>
      <c r="J586" s="145"/>
      <c r="K586" s="145"/>
      <c r="L586" s="145"/>
      <c r="M586" s="145"/>
      <c r="N586" s="145"/>
      <c r="O586" s="145"/>
      <c r="P586" s="145"/>
      <c r="Q586" s="145"/>
      <c r="R586" s="145"/>
      <c r="S586" s="145"/>
      <c r="T586" s="145"/>
      <c r="U586" s="145"/>
      <c r="V586" s="145"/>
      <c r="W586" s="145"/>
      <c r="X586" s="145"/>
      <c r="Y586" s="145"/>
      <c r="Z586" s="145"/>
    </row>
    <row r="587" spans="1:26" ht="15.75" x14ac:dyDescent="0.25">
      <c r="A587" s="145"/>
      <c r="B587" s="145"/>
      <c r="C587" s="145"/>
      <c r="D587" s="145"/>
      <c r="E587" s="145"/>
      <c r="F587" s="145"/>
      <c r="G587" s="145"/>
      <c r="H587" s="145"/>
      <c r="I587" s="145"/>
      <c r="J587" s="145"/>
      <c r="K587" s="145"/>
      <c r="L587" s="145"/>
      <c r="M587" s="145"/>
      <c r="N587" s="145"/>
      <c r="O587" s="145"/>
      <c r="P587" s="145"/>
      <c r="Q587" s="145"/>
      <c r="R587" s="145"/>
      <c r="S587" s="145"/>
      <c r="T587" s="145"/>
      <c r="U587" s="145"/>
      <c r="V587" s="145"/>
      <c r="W587" s="145"/>
      <c r="X587" s="145"/>
      <c r="Y587" s="145"/>
      <c r="Z587" s="145"/>
    </row>
    <row r="588" spans="1:26" ht="15.75" x14ac:dyDescent="0.25">
      <c r="A588" s="145"/>
      <c r="B588" s="145"/>
      <c r="C588" s="145"/>
      <c r="D588" s="145"/>
      <c r="E588" s="145"/>
      <c r="F588" s="145"/>
      <c r="G588" s="145"/>
      <c r="H588" s="145"/>
      <c r="I588" s="145"/>
      <c r="J588" s="145"/>
      <c r="K588" s="145"/>
      <c r="L588" s="145"/>
      <c r="M588" s="145"/>
      <c r="N588" s="145"/>
      <c r="O588" s="145"/>
      <c r="P588" s="145"/>
      <c r="Q588" s="145"/>
      <c r="R588" s="145"/>
      <c r="S588" s="145"/>
      <c r="T588" s="145"/>
      <c r="U588" s="145"/>
      <c r="V588" s="145"/>
      <c r="W588" s="145"/>
      <c r="X588" s="145"/>
      <c r="Y588" s="145"/>
      <c r="Z588" s="145"/>
    </row>
    <row r="589" spans="1:26" ht="15.75" x14ac:dyDescent="0.25">
      <c r="A589" s="145"/>
      <c r="B589" s="145"/>
      <c r="C589" s="145"/>
      <c r="D589" s="145"/>
      <c r="E589" s="145"/>
      <c r="F589" s="145"/>
      <c r="G589" s="145"/>
      <c r="H589" s="145"/>
      <c r="I589" s="145"/>
      <c r="J589" s="145"/>
      <c r="K589" s="145"/>
      <c r="L589" s="145"/>
      <c r="M589" s="145"/>
      <c r="N589" s="145"/>
      <c r="O589" s="145"/>
      <c r="P589" s="145"/>
      <c r="Q589" s="145"/>
      <c r="R589" s="145"/>
      <c r="S589" s="145"/>
      <c r="T589" s="145"/>
      <c r="U589" s="145"/>
      <c r="V589" s="145"/>
      <c r="W589" s="145"/>
      <c r="X589" s="145"/>
      <c r="Y589" s="145"/>
      <c r="Z589" s="145"/>
    </row>
    <row r="590" spans="1:26" ht="15.75" x14ac:dyDescent="0.25">
      <c r="A590" s="145"/>
      <c r="B590" s="145"/>
      <c r="C590" s="145"/>
      <c r="D590" s="145"/>
      <c r="E590" s="145"/>
      <c r="F590" s="145"/>
      <c r="G590" s="145"/>
      <c r="H590" s="145"/>
      <c r="I590" s="145"/>
      <c r="J590" s="145"/>
      <c r="K590" s="145"/>
      <c r="L590" s="145"/>
      <c r="M590" s="145"/>
      <c r="N590" s="145"/>
      <c r="O590" s="145"/>
      <c r="P590" s="145"/>
      <c r="Q590" s="145"/>
      <c r="R590" s="145"/>
      <c r="S590" s="145"/>
      <c r="T590" s="145"/>
      <c r="U590" s="145"/>
      <c r="V590" s="145"/>
      <c r="W590" s="145"/>
      <c r="X590" s="145"/>
      <c r="Y590" s="145"/>
      <c r="Z590" s="145"/>
    </row>
    <row r="591" spans="1:26" ht="15.75" x14ac:dyDescent="0.25">
      <c r="A591" s="145"/>
      <c r="B591" s="145"/>
      <c r="C591" s="145"/>
      <c r="D591" s="145"/>
      <c r="E591" s="145"/>
      <c r="F591" s="145"/>
      <c r="G591" s="145"/>
      <c r="H591" s="145"/>
      <c r="I591" s="145"/>
      <c r="J591" s="145"/>
      <c r="K591" s="145"/>
      <c r="L591" s="145"/>
      <c r="M591" s="145"/>
      <c r="N591" s="145"/>
      <c r="O591" s="145"/>
      <c r="P591" s="145"/>
      <c r="Q591" s="145"/>
      <c r="R591" s="145"/>
      <c r="S591" s="145"/>
      <c r="T591" s="145"/>
      <c r="U591" s="145"/>
      <c r="V591" s="145"/>
      <c r="W591" s="145"/>
      <c r="X591" s="145"/>
      <c r="Y591" s="145"/>
      <c r="Z591" s="145"/>
    </row>
    <row r="592" spans="1:26" ht="15.75" x14ac:dyDescent="0.25">
      <c r="A592" s="145"/>
      <c r="B592" s="145"/>
      <c r="C592" s="145"/>
      <c r="D592" s="145"/>
      <c r="E592" s="145"/>
      <c r="F592" s="145"/>
      <c r="G592" s="145"/>
      <c r="H592" s="145"/>
      <c r="I592" s="145"/>
      <c r="J592" s="145"/>
      <c r="K592" s="145"/>
      <c r="L592" s="145"/>
      <c r="M592" s="145"/>
      <c r="N592" s="145"/>
      <c r="O592" s="145"/>
      <c r="P592" s="145"/>
      <c r="Q592" s="145"/>
      <c r="R592" s="145"/>
      <c r="S592" s="145"/>
      <c r="T592" s="145"/>
      <c r="U592" s="145"/>
      <c r="V592" s="145"/>
      <c r="W592" s="145"/>
      <c r="X592" s="145"/>
      <c r="Y592" s="145"/>
      <c r="Z592" s="145"/>
    </row>
    <row r="593" spans="1:26" ht="15.75" x14ac:dyDescent="0.25">
      <c r="A593" s="145"/>
      <c r="B593" s="145"/>
      <c r="C593" s="145"/>
      <c r="D593" s="145"/>
      <c r="E593" s="145"/>
      <c r="F593" s="145"/>
      <c r="G593" s="145"/>
      <c r="H593" s="145"/>
      <c r="I593" s="145"/>
      <c r="J593" s="145"/>
      <c r="K593" s="145"/>
      <c r="L593" s="145"/>
      <c r="M593" s="145"/>
      <c r="N593" s="145"/>
      <c r="O593" s="145"/>
      <c r="P593" s="145"/>
      <c r="Q593" s="145"/>
      <c r="R593" s="145"/>
      <c r="S593" s="145"/>
      <c r="T593" s="145"/>
      <c r="U593" s="145"/>
      <c r="V593" s="145"/>
      <c r="W593" s="145"/>
      <c r="X593" s="145"/>
      <c r="Y593" s="145"/>
      <c r="Z593" s="145"/>
    </row>
    <row r="594" spans="1:26" ht="15.75" x14ac:dyDescent="0.25">
      <c r="A594" s="145"/>
      <c r="B594" s="145"/>
      <c r="C594" s="145"/>
      <c r="D594" s="145"/>
      <c r="E594" s="145"/>
      <c r="F594" s="145"/>
      <c r="G594" s="145"/>
      <c r="H594" s="145"/>
      <c r="I594" s="145"/>
      <c r="J594" s="145"/>
      <c r="K594" s="145"/>
      <c r="L594" s="145"/>
      <c r="M594" s="145"/>
      <c r="N594" s="145"/>
      <c r="O594" s="145"/>
      <c r="P594" s="145"/>
      <c r="Q594" s="145"/>
      <c r="R594" s="145"/>
      <c r="S594" s="145"/>
      <c r="T594" s="145"/>
      <c r="U594" s="145"/>
      <c r="V594" s="145"/>
      <c r="W594" s="145"/>
      <c r="X594" s="145"/>
      <c r="Y594" s="145"/>
      <c r="Z594" s="145"/>
    </row>
    <row r="595" spans="1:26" ht="15.75" x14ac:dyDescent="0.25">
      <c r="A595" s="145"/>
      <c r="B595" s="145"/>
      <c r="C595" s="145"/>
      <c r="D595" s="145"/>
      <c r="E595" s="145"/>
      <c r="F595" s="145"/>
      <c r="G595" s="145"/>
      <c r="H595" s="145"/>
      <c r="I595" s="145"/>
      <c r="J595" s="145"/>
      <c r="K595" s="145"/>
      <c r="L595" s="145"/>
      <c r="M595" s="145"/>
      <c r="N595" s="145"/>
      <c r="O595" s="145"/>
      <c r="P595" s="145"/>
      <c r="Q595" s="145"/>
      <c r="R595" s="145"/>
      <c r="S595" s="145"/>
      <c r="T595" s="145"/>
      <c r="U595" s="145"/>
      <c r="V595" s="145"/>
      <c r="W595" s="145"/>
      <c r="X595" s="145"/>
      <c r="Y595" s="145"/>
      <c r="Z595" s="145"/>
    </row>
    <row r="596" spans="1:26" ht="15.75" x14ac:dyDescent="0.25">
      <c r="A596" s="145"/>
      <c r="B596" s="145"/>
      <c r="C596" s="145"/>
      <c r="D596" s="145"/>
      <c r="E596" s="145"/>
      <c r="F596" s="145"/>
      <c r="G596" s="145"/>
      <c r="H596" s="145"/>
      <c r="I596" s="145"/>
      <c r="J596" s="145"/>
      <c r="K596" s="145"/>
      <c r="L596" s="145"/>
      <c r="M596" s="145"/>
      <c r="N596" s="145"/>
      <c r="O596" s="145"/>
      <c r="P596" s="145"/>
      <c r="Q596" s="145"/>
      <c r="R596" s="145"/>
      <c r="S596" s="145"/>
      <c r="T596" s="145"/>
      <c r="U596" s="145"/>
      <c r="V596" s="145"/>
      <c r="W596" s="145"/>
      <c r="X596" s="145"/>
      <c r="Y596" s="145"/>
      <c r="Z596" s="145"/>
    </row>
    <row r="597" spans="1:26" ht="15.75" x14ac:dyDescent="0.25">
      <c r="A597" s="145"/>
      <c r="B597" s="145"/>
      <c r="C597" s="145"/>
      <c r="D597" s="145"/>
      <c r="E597" s="145"/>
      <c r="F597" s="145"/>
      <c r="G597" s="145"/>
      <c r="H597" s="145"/>
      <c r="I597" s="145"/>
      <c r="J597" s="145"/>
      <c r="K597" s="145"/>
      <c r="L597" s="145"/>
      <c r="M597" s="145"/>
      <c r="N597" s="145"/>
      <c r="O597" s="145"/>
      <c r="P597" s="145"/>
      <c r="Q597" s="145"/>
      <c r="R597" s="145"/>
      <c r="S597" s="145"/>
      <c r="T597" s="145"/>
      <c r="U597" s="145"/>
      <c r="V597" s="145"/>
      <c r="W597" s="145"/>
      <c r="X597" s="145"/>
      <c r="Y597" s="145"/>
      <c r="Z597" s="145"/>
    </row>
    <row r="598" spans="1:26" ht="15.75" x14ac:dyDescent="0.25">
      <c r="A598" s="145"/>
      <c r="B598" s="145"/>
      <c r="C598" s="145"/>
      <c r="D598" s="145"/>
      <c r="E598" s="145"/>
      <c r="F598" s="145"/>
      <c r="G598" s="145"/>
      <c r="H598" s="145"/>
      <c r="I598" s="145"/>
      <c r="J598" s="145"/>
      <c r="K598" s="145"/>
      <c r="L598" s="145"/>
      <c r="M598" s="145"/>
      <c r="N598" s="145"/>
      <c r="O598" s="145"/>
      <c r="P598" s="145"/>
      <c r="Q598" s="145"/>
      <c r="R598" s="145"/>
      <c r="S598" s="145"/>
      <c r="T598" s="145"/>
      <c r="U598" s="145"/>
      <c r="V598" s="145"/>
      <c r="W598" s="145"/>
      <c r="X598" s="145"/>
      <c r="Y598" s="145"/>
      <c r="Z598" s="145"/>
    </row>
    <row r="599" spans="1:26" ht="15.75" x14ac:dyDescent="0.25">
      <c r="A599" s="145"/>
      <c r="B599" s="145"/>
      <c r="C599" s="145"/>
      <c r="D599" s="145"/>
      <c r="E599" s="145"/>
      <c r="F599" s="145"/>
      <c r="G599" s="145"/>
      <c r="H599" s="145"/>
      <c r="I599" s="145"/>
      <c r="J599" s="145"/>
      <c r="K599" s="145"/>
      <c r="L599" s="145"/>
      <c r="M599" s="145"/>
      <c r="N599" s="145"/>
      <c r="O599" s="145"/>
      <c r="P599" s="145"/>
      <c r="Q599" s="145"/>
      <c r="R599" s="145"/>
      <c r="S599" s="145"/>
      <c r="T599" s="145"/>
      <c r="U599" s="145"/>
      <c r="V599" s="145"/>
      <c r="W599" s="145"/>
      <c r="X599" s="145"/>
      <c r="Y599" s="145"/>
      <c r="Z599" s="145"/>
    </row>
    <row r="600" spans="1:26" ht="15.75" x14ac:dyDescent="0.25">
      <c r="A600" s="145"/>
      <c r="B600" s="145"/>
      <c r="C600" s="145"/>
      <c r="D600" s="145"/>
      <c r="E600" s="145"/>
      <c r="F600" s="145"/>
      <c r="G600" s="145"/>
      <c r="H600" s="145"/>
      <c r="I600" s="145"/>
      <c r="J600" s="145"/>
      <c r="K600" s="145"/>
      <c r="L600" s="145"/>
      <c r="M600" s="145"/>
      <c r="N600" s="145"/>
      <c r="O600" s="145"/>
      <c r="P600" s="145"/>
      <c r="Q600" s="145"/>
      <c r="R600" s="145"/>
      <c r="S600" s="145"/>
      <c r="T600" s="145"/>
      <c r="U600" s="145"/>
      <c r="V600" s="145"/>
      <c r="W600" s="145"/>
      <c r="X600" s="145"/>
      <c r="Y600" s="145"/>
      <c r="Z600" s="145"/>
    </row>
    <row r="601" spans="1:26" ht="15.75" x14ac:dyDescent="0.25">
      <c r="A601" s="145"/>
      <c r="B601" s="145"/>
      <c r="C601" s="145"/>
      <c r="D601" s="145"/>
      <c r="E601" s="145"/>
      <c r="F601" s="145"/>
      <c r="G601" s="145"/>
      <c r="H601" s="145"/>
      <c r="I601" s="145"/>
      <c r="J601" s="145"/>
      <c r="K601" s="145"/>
      <c r="L601" s="145"/>
      <c r="M601" s="145"/>
      <c r="N601" s="145"/>
      <c r="O601" s="145"/>
      <c r="P601" s="145"/>
      <c r="Q601" s="145"/>
      <c r="R601" s="145"/>
      <c r="S601" s="145"/>
      <c r="T601" s="145"/>
      <c r="U601" s="145"/>
      <c r="V601" s="145"/>
      <c r="W601" s="145"/>
      <c r="X601" s="145"/>
      <c r="Y601" s="145"/>
      <c r="Z601" s="145"/>
    </row>
    <row r="602" spans="1:26" ht="15.75" x14ac:dyDescent="0.25">
      <c r="A602" s="145"/>
      <c r="B602" s="145"/>
      <c r="C602" s="145"/>
      <c r="D602" s="145"/>
      <c r="E602" s="145"/>
      <c r="F602" s="145"/>
      <c r="G602" s="145"/>
      <c r="H602" s="145"/>
      <c r="I602" s="145"/>
      <c r="J602" s="145"/>
      <c r="K602" s="145"/>
      <c r="L602" s="145"/>
      <c r="M602" s="145"/>
      <c r="N602" s="145"/>
      <c r="O602" s="145"/>
      <c r="P602" s="145"/>
      <c r="Q602" s="145"/>
      <c r="R602" s="145"/>
      <c r="S602" s="145"/>
      <c r="T602" s="145"/>
      <c r="U602" s="145"/>
      <c r="V602" s="145"/>
      <c r="W602" s="145"/>
      <c r="X602" s="145"/>
      <c r="Y602" s="145"/>
      <c r="Z602" s="145"/>
    </row>
    <row r="603" spans="1:26" ht="15.75" x14ac:dyDescent="0.25">
      <c r="A603" s="145"/>
      <c r="B603" s="145"/>
      <c r="C603" s="145"/>
      <c r="D603" s="145"/>
      <c r="E603" s="145"/>
      <c r="F603" s="145"/>
      <c r="G603" s="145"/>
      <c r="H603" s="145"/>
      <c r="I603" s="145"/>
      <c r="J603" s="145"/>
      <c r="K603" s="145"/>
      <c r="L603" s="145"/>
      <c r="M603" s="145"/>
      <c r="N603" s="145"/>
      <c r="O603" s="145"/>
      <c r="P603" s="145"/>
      <c r="Q603" s="145"/>
      <c r="R603" s="145"/>
      <c r="S603" s="145"/>
      <c r="T603" s="145"/>
      <c r="U603" s="145"/>
      <c r="V603" s="145"/>
      <c r="W603" s="145"/>
      <c r="X603" s="145"/>
      <c r="Y603" s="145"/>
      <c r="Z603" s="145"/>
    </row>
    <row r="604" spans="1:26" ht="15.75" x14ac:dyDescent="0.25">
      <c r="A604" s="145"/>
      <c r="B604" s="145"/>
      <c r="C604" s="145"/>
      <c r="D604" s="145"/>
      <c r="E604" s="145"/>
      <c r="F604" s="145"/>
      <c r="G604" s="145"/>
      <c r="H604" s="145"/>
      <c r="I604" s="145"/>
      <c r="J604" s="145"/>
      <c r="K604" s="145"/>
      <c r="L604" s="145"/>
      <c r="M604" s="145"/>
      <c r="N604" s="145"/>
      <c r="O604" s="145"/>
      <c r="P604" s="145"/>
      <c r="Q604" s="145"/>
      <c r="R604" s="145"/>
      <c r="S604" s="145"/>
      <c r="T604" s="145"/>
      <c r="U604" s="145"/>
      <c r="V604" s="145"/>
      <c r="W604" s="145"/>
      <c r="X604" s="145"/>
      <c r="Y604" s="145"/>
      <c r="Z604" s="145"/>
    </row>
    <row r="605" spans="1:26" ht="15.75" x14ac:dyDescent="0.25">
      <c r="A605" s="145"/>
      <c r="B605" s="145"/>
      <c r="C605" s="145"/>
      <c r="D605" s="145"/>
      <c r="E605" s="145"/>
      <c r="F605" s="145"/>
      <c r="G605" s="145"/>
      <c r="H605" s="145"/>
      <c r="I605" s="145"/>
      <c r="J605" s="145"/>
      <c r="K605" s="145"/>
      <c r="L605" s="145"/>
      <c r="M605" s="145"/>
      <c r="N605" s="145"/>
      <c r="O605" s="145"/>
      <c r="P605" s="145"/>
      <c r="Q605" s="145"/>
      <c r="R605" s="145"/>
      <c r="S605" s="145"/>
      <c r="T605" s="145"/>
      <c r="U605" s="145"/>
      <c r="V605" s="145"/>
      <c r="W605" s="145"/>
      <c r="X605" s="145"/>
      <c r="Y605" s="145"/>
      <c r="Z605" s="145"/>
    </row>
    <row r="606" spans="1:26" ht="15.75" x14ac:dyDescent="0.25">
      <c r="A606" s="145"/>
      <c r="B606" s="145"/>
      <c r="C606" s="145"/>
      <c r="D606" s="145"/>
      <c r="E606" s="145"/>
      <c r="F606" s="145"/>
      <c r="G606" s="145"/>
      <c r="H606" s="145"/>
      <c r="I606" s="145"/>
      <c r="J606" s="145"/>
      <c r="K606" s="145"/>
      <c r="L606" s="145"/>
      <c r="M606" s="145"/>
      <c r="N606" s="145"/>
      <c r="O606" s="145"/>
      <c r="P606" s="145"/>
      <c r="Q606" s="145"/>
      <c r="R606" s="145"/>
      <c r="S606" s="145"/>
      <c r="T606" s="145"/>
      <c r="U606" s="145"/>
      <c r="V606" s="145"/>
      <c r="W606" s="145"/>
      <c r="X606" s="145"/>
      <c r="Y606" s="145"/>
      <c r="Z606" s="145"/>
    </row>
    <row r="607" spans="1:26" ht="15.75" x14ac:dyDescent="0.25">
      <c r="A607" s="145"/>
      <c r="B607" s="145"/>
      <c r="C607" s="145"/>
      <c r="D607" s="145"/>
      <c r="E607" s="145"/>
      <c r="F607" s="145"/>
      <c r="G607" s="145"/>
      <c r="H607" s="145"/>
      <c r="I607" s="145"/>
      <c r="J607" s="145"/>
      <c r="K607" s="145"/>
      <c r="L607" s="145"/>
      <c r="M607" s="145"/>
      <c r="N607" s="145"/>
      <c r="O607" s="145"/>
      <c r="P607" s="145"/>
      <c r="Q607" s="145"/>
      <c r="R607" s="145"/>
      <c r="S607" s="145"/>
      <c r="T607" s="145"/>
      <c r="U607" s="145"/>
      <c r="V607" s="145"/>
      <c r="W607" s="145"/>
      <c r="X607" s="145"/>
      <c r="Y607" s="145"/>
      <c r="Z607" s="145"/>
    </row>
    <row r="608" spans="1:26" ht="15.75" x14ac:dyDescent="0.25">
      <c r="A608" s="145"/>
      <c r="B608" s="145"/>
      <c r="C608" s="145"/>
      <c r="D608" s="145"/>
      <c r="E608" s="145"/>
      <c r="F608" s="145"/>
      <c r="G608" s="145"/>
      <c r="H608" s="145"/>
      <c r="I608" s="145"/>
      <c r="J608" s="145"/>
      <c r="K608" s="145"/>
      <c r="L608" s="145"/>
      <c r="M608" s="145"/>
      <c r="N608" s="145"/>
      <c r="O608" s="145"/>
      <c r="P608" s="145"/>
      <c r="Q608" s="145"/>
      <c r="R608" s="145"/>
      <c r="S608" s="145"/>
      <c r="T608" s="145"/>
      <c r="U608" s="145"/>
      <c r="V608" s="145"/>
      <c r="W608" s="145"/>
      <c r="X608" s="145"/>
      <c r="Y608" s="145"/>
      <c r="Z608" s="145"/>
    </row>
    <row r="609" spans="1:26" ht="15.75" x14ac:dyDescent="0.25">
      <c r="A609" s="145"/>
      <c r="B609" s="145"/>
      <c r="C609" s="145"/>
      <c r="D609" s="145"/>
      <c r="E609" s="145"/>
      <c r="F609" s="145"/>
      <c r="G609" s="145"/>
      <c r="H609" s="145"/>
      <c r="I609" s="145"/>
      <c r="J609" s="145"/>
      <c r="K609" s="145"/>
      <c r="L609" s="145"/>
      <c r="M609" s="145"/>
      <c r="N609" s="145"/>
      <c r="O609" s="145"/>
      <c r="P609" s="145"/>
      <c r="Q609" s="145"/>
      <c r="R609" s="145"/>
      <c r="S609" s="145"/>
      <c r="T609" s="145"/>
      <c r="U609" s="145"/>
      <c r="V609" s="145"/>
      <c r="W609" s="145"/>
      <c r="X609" s="145"/>
      <c r="Y609" s="145"/>
      <c r="Z609" s="145"/>
    </row>
    <row r="610" spans="1:26" ht="15.75" x14ac:dyDescent="0.25">
      <c r="A610" s="145"/>
      <c r="B610" s="145"/>
      <c r="C610" s="145"/>
      <c r="D610" s="145"/>
      <c r="E610" s="145"/>
      <c r="F610" s="145"/>
      <c r="G610" s="145"/>
      <c r="H610" s="145"/>
      <c r="I610" s="145"/>
      <c r="J610" s="145"/>
      <c r="K610" s="145"/>
      <c r="L610" s="145"/>
      <c r="M610" s="145"/>
      <c r="N610" s="145"/>
      <c r="O610" s="145"/>
      <c r="P610" s="145"/>
      <c r="Q610" s="145"/>
      <c r="R610" s="145"/>
      <c r="S610" s="145"/>
      <c r="T610" s="145"/>
      <c r="U610" s="145"/>
      <c r="V610" s="145"/>
      <c r="W610" s="145"/>
      <c r="X610" s="145"/>
      <c r="Y610" s="145"/>
      <c r="Z610" s="145"/>
    </row>
    <row r="611" spans="1:26" ht="15.75" x14ac:dyDescent="0.25">
      <c r="A611" s="145"/>
      <c r="B611" s="145"/>
      <c r="C611" s="145"/>
      <c r="D611" s="145"/>
      <c r="E611" s="145"/>
      <c r="F611" s="145"/>
      <c r="G611" s="145"/>
      <c r="H611" s="145"/>
      <c r="I611" s="145"/>
      <c r="J611" s="145"/>
      <c r="K611" s="145"/>
      <c r="L611" s="145"/>
      <c r="M611" s="145"/>
      <c r="N611" s="145"/>
      <c r="O611" s="145"/>
      <c r="P611" s="145"/>
      <c r="Q611" s="145"/>
      <c r="R611" s="145"/>
      <c r="S611" s="145"/>
      <c r="T611" s="145"/>
      <c r="U611" s="145"/>
      <c r="V611" s="145"/>
      <c r="W611" s="145"/>
      <c r="X611" s="145"/>
      <c r="Y611" s="145"/>
      <c r="Z611" s="145"/>
    </row>
    <row r="612" spans="1:26" ht="15.75" x14ac:dyDescent="0.25">
      <c r="A612" s="145"/>
      <c r="B612" s="145"/>
      <c r="C612" s="145"/>
      <c r="D612" s="145"/>
      <c r="E612" s="145"/>
      <c r="F612" s="145"/>
      <c r="G612" s="145"/>
      <c r="H612" s="145"/>
      <c r="I612" s="145"/>
      <c r="J612" s="145"/>
      <c r="K612" s="145"/>
      <c r="L612" s="145"/>
      <c r="M612" s="145"/>
      <c r="N612" s="145"/>
      <c r="O612" s="145"/>
      <c r="P612" s="145"/>
      <c r="Q612" s="145"/>
      <c r="R612" s="145"/>
      <c r="S612" s="145"/>
      <c r="T612" s="145"/>
      <c r="U612" s="145"/>
      <c r="V612" s="145"/>
      <c r="W612" s="145"/>
      <c r="X612" s="145"/>
      <c r="Y612" s="145"/>
      <c r="Z612" s="145"/>
    </row>
    <row r="613" spans="1:26" ht="15.75" x14ac:dyDescent="0.25">
      <c r="A613" s="145"/>
      <c r="B613" s="145"/>
      <c r="C613" s="145"/>
      <c r="D613" s="145"/>
      <c r="E613" s="145"/>
      <c r="F613" s="145"/>
      <c r="G613" s="145"/>
      <c r="H613" s="145"/>
      <c r="I613" s="145"/>
      <c r="J613" s="145"/>
      <c r="K613" s="145"/>
      <c r="L613" s="145"/>
      <c r="M613" s="145"/>
      <c r="N613" s="145"/>
      <c r="O613" s="145"/>
      <c r="P613" s="145"/>
      <c r="Q613" s="145"/>
      <c r="R613" s="145"/>
      <c r="S613" s="145"/>
      <c r="T613" s="145"/>
      <c r="U613" s="145"/>
      <c r="V613" s="145"/>
      <c r="W613" s="145"/>
      <c r="X613" s="145"/>
      <c r="Y613" s="145"/>
      <c r="Z613" s="145"/>
    </row>
    <row r="614" spans="1:26" ht="15.75" x14ac:dyDescent="0.25">
      <c r="A614" s="145"/>
      <c r="B614" s="145"/>
      <c r="C614" s="145"/>
      <c r="D614" s="145"/>
      <c r="E614" s="145"/>
      <c r="F614" s="145"/>
      <c r="G614" s="145"/>
      <c r="H614" s="145"/>
      <c r="I614" s="145"/>
      <c r="J614" s="145"/>
      <c r="K614" s="145"/>
      <c r="L614" s="145"/>
      <c r="M614" s="145"/>
      <c r="N614" s="145"/>
      <c r="O614" s="145"/>
      <c r="P614" s="145"/>
      <c r="Q614" s="145"/>
      <c r="R614" s="145"/>
      <c r="S614" s="145"/>
      <c r="T614" s="145"/>
      <c r="U614" s="145"/>
      <c r="V614" s="145"/>
      <c r="W614" s="145"/>
      <c r="X614" s="145"/>
      <c r="Y614" s="145"/>
      <c r="Z614" s="145"/>
    </row>
    <row r="615" spans="1:26" ht="15.75" x14ac:dyDescent="0.25">
      <c r="A615" s="145"/>
      <c r="B615" s="145"/>
      <c r="C615" s="145"/>
      <c r="D615" s="145"/>
      <c r="E615" s="145"/>
      <c r="F615" s="145"/>
      <c r="G615" s="145"/>
      <c r="H615" s="145"/>
      <c r="I615" s="145"/>
      <c r="J615" s="145"/>
      <c r="K615" s="145"/>
      <c r="L615" s="145"/>
      <c r="M615" s="145"/>
      <c r="N615" s="145"/>
      <c r="O615" s="145"/>
      <c r="P615" s="145"/>
      <c r="Q615" s="145"/>
      <c r="R615" s="145"/>
      <c r="S615" s="145"/>
      <c r="T615" s="145"/>
      <c r="U615" s="145"/>
      <c r="V615" s="145"/>
      <c r="W615" s="145"/>
      <c r="X615" s="145"/>
      <c r="Y615" s="145"/>
      <c r="Z615" s="145"/>
    </row>
    <row r="616" spans="1:26" ht="15.75" x14ac:dyDescent="0.25">
      <c r="A616" s="145"/>
      <c r="B616" s="145"/>
      <c r="C616" s="145"/>
      <c r="D616" s="145"/>
      <c r="E616" s="145"/>
      <c r="F616" s="145"/>
      <c r="G616" s="145"/>
      <c r="H616" s="145"/>
      <c r="I616" s="145"/>
      <c r="J616" s="145"/>
      <c r="K616" s="145"/>
      <c r="L616" s="145"/>
      <c r="M616" s="145"/>
      <c r="N616" s="145"/>
      <c r="O616" s="145"/>
      <c r="P616" s="145"/>
      <c r="Q616" s="145"/>
      <c r="R616" s="145"/>
      <c r="S616" s="145"/>
      <c r="T616" s="145"/>
      <c r="U616" s="145"/>
      <c r="V616" s="145"/>
      <c r="W616" s="145"/>
      <c r="X616" s="145"/>
      <c r="Y616" s="145"/>
      <c r="Z616" s="145"/>
    </row>
    <row r="617" spans="1:26" ht="15.75" x14ac:dyDescent="0.25">
      <c r="A617" s="145"/>
      <c r="B617" s="145"/>
      <c r="C617" s="145"/>
      <c r="D617" s="145"/>
      <c r="E617" s="145"/>
      <c r="F617" s="145"/>
      <c r="G617" s="145"/>
      <c r="H617" s="145"/>
      <c r="I617" s="145"/>
      <c r="J617" s="145"/>
      <c r="K617" s="145"/>
      <c r="L617" s="145"/>
      <c r="M617" s="145"/>
      <c r="N617" s="145"/>
      <c r="O617" s="145"/>
      <c r="P617" s="145"/>
      <c r="Q617" s="145"/>
      <c r="R617" s="145"/>
      <c r="S617" s="145"/>
      <c r="T617" s="145"/>
      <c r="U617" s="145"/>
      <c r="V617" s="145"/>
      <c r="W617" s="145"/>
      <c r="X617" s="145"/>
      <c r="Y617" s="145"/>
      <c r="Z617" s="145"/>
    </row>
    <row r="618" spans="1:26" ht="15.75" x14ac:dyDescent="0.25">
      <c r="A618" s="145"/>
      <c r="B618" s="145"/>
      <c r="C618" s="145"/>
      <c r="D618" s="145"/>
      <c r="E618" s="145"/>
      <c r="F618" s="145"/>
      <c r="G618" s="145"/>
      <c r="H618" s="145"/>
      <c r="I618" s="145"/>
      <c r="J618" s="145"/>
      <c r="K618" s="145"/>
      <c r="L618" s="145"/>
      <c r="M618" s="145"/>
      <c r="N618" s="145"/>
      <c r="O618" s="145"/>
      <c r="P618" s="145"/>
      <c r="Q618" s="145"/>
      <c r="R618" s="145"/>
      <c r="S618" s="145"/>
      <c r="T618" s="145"/>
      <c r="U618" s="145"/>
      <c r="V618" s="145"/>
      <c r="W618" s="145"/>
      <c r="X618" s="145"/>
      <c r="Y618" s="145"/>
      <c r="Z618" s="145"/>
    </row>
    <row r="619" spans="1:26" ht="15.75" x14ac:dyDescent="0.25">
      <c r="A619" s="145"/>
      <c r="B619" s="145"/>
      <c r="C619" s="145"/>
      <c r="D619" s="145"/>
      <c r="E619" s="145"/>
      <c r="F619" s="145"/>
      <c r="G619" s="145"/>
      <c r="H619" s="145"/>
      <c r="I619" s="145"/>
      <c r="J619" s="145"/>
      <c r="K619" s="145"/>
      <c r="L619" s="145"/>
      <c r="M619" s="145"/>
      <c r="N619" s="145"/>
      <c r="O619" s="145"/>
      <c r="P619" s="145"/>
      <c r="Q619" s="145"/>
      <c r="R619" s="145"/>
      <c r="S619" s="145"/>
      <c r="T619" s="145"/>
      <c r="U619" s="145"/>
      <c r="V619" s="145"/>
      <c r="W619" s="145"/>
      <c r="X619" s="145"/>
      <c r="Y619" s="145"/>
      <c r="Z619" s="145"/>
    </row>
    <row r="620" spans="1:26" ht="15.75" x14ac:dyDescent="0.25">
      <c r="A620" s="145"/>
      <c r="B620" s="145"/>
      <c r="C620" s="145"/>
      <c r="D620" s="145"/>
      <c r="E620" s="145"/>
      <c r="F620" s="145"/>
      <c r="G620" s="145"/>
      <c r="H620" s="145"/>
      <c r="I620" s="145"/>
      <c r="J620" s="145"/>
      <c r="K620" s="145"/>
      <c r="L620" s="145"/>
      <c r="M620" s="145"/>
      <c r="N620" s="145"/>
      <c r="O620" s="145"/>
      <c r="P620" s="145"/>
      <c r="Q620" s="145"/>
      <c r="R620" s="145"/>
      <c r="S620" s="145"/>
      <c r="T620" s="145"/>
      <c r="U620" s="145"/>
      <c r="V620" s="145"/>
      <c r="W620" s="145"/>
      <c r="X620" s="145"/>
      <c r="Y620" s="145"/>
      <c r="Z620" s="145"/>
    </row>
    <row r="621" spans="1:26" ht="15.75" x14ac:dyDescent="0.25">
      <c r="A621" s="145"/>
      <c r="B621" s="145"/>
      <c r="C621" s="145"/>
      <c r="D621" s="145"/>
      <c r="E621" s="145"/>
      <c r="F621" s="145"/>
      <c r="G621" s="145"/>
      <c r="H621" s="145"/>
      <c r="I621" s="145"/>
      <c r="J621" s="145"/>
      <c r="K621" s="145"/>
      <c r="L621" s="145"/>
      <c r="M621" s="145"/>
      <c r="N621" s="145"/>
      <c r="O621" s="145"/>
      <c r="P621" s="145"/>
      <c r="Q621" s="145"/>
      <c r="R621" s="145"/>
      <c r="S621" s="145"/>
      <c r="T621" s="145"/>
      <c r="U621" s="145"/>
      <c r="V621" s="145"/>
      <c r="W621" s="145"/>
      <c r="X621" s="145"/>
      <c r="Y621" s="145"/>
      <c r="Z621" s="145"/>
    </row>
    <row r="622" spans="1:26" ht="15.75" x14ac:dyDescent="0.25">
      <c r="A622" s="145"/>
      <c r="B622" s="145"/>
      <c r="C622" s="145"/>
      <c r="D622" s="145"/>
      <c r="E622" s="145"/>
      <c r="F622" s="145"/>
      <c r="G622" s="145"/>
      <c r="H622" s="145"/>
      <c r="I622" s="145"/>
      <c r="J622" s="145"/>
      <c r="K622" s="145"/>
      <c r="L622" s="145"/>
      <c r="M622" s="145"/>
      <c r="N622" s="145"/>
      <c r="O622" s="145"/>
      <c r="P622" s="145"/>
      <c r="Q622" s="145"/>
      <c r="R622" s="145"/>
      <c r="S622" s="145"/>
      <c r="T622" s="145"/>
      <c r="U622" s="145"/>
      <c r="V622" s="145"/>
      <c r="W622" s="145"/>
      <c r="X622" s="145"/>
      <c r="Y622" s="145"/>
      <c r="Z622" s="145"/>
    </row>
    <row r="623" spans="1:26" ht="15.75" x14ac:dyDescent="0.25">
      <c r="A623" s="145"/>
      <c r="B623" s="145"/>
      <c r="C623" s="145"/>
      <c r="D623" s="145"/>
      <c r="E623" s="145"/>
      <c r="F623" s="145"/>
      <c r="G623" s="145"/>
      <c r="H623" s="145"/>
      <c r="I623" s="145"/>
      <c r="J623" s="145"/>
      <c r="K623" s="145"/>
      <c r="L623" s="145"/>
      <c r="M623" s="145"/>
      <c r="N623" s="145"/>
      <c r="O623" s="145"/>
      <c r="P623" s="145"/>
      <c r="Q623" s="145"/>
      <c r="R623" s="145"/>
      <c r="S623" s="145"/>
      <c r="T623" s="145"/>
      <c r="U623" s="145"/>
      <c r="V623" s="145"/>
      <c r="W623" s="145"/>
      <c r="X623" s="145"/>
      <c r="Y623" s="145"/>
      <c r="Z623" s="145"/>
    </row>
    <row r="624" spans="1:26" ht="15.75" x14ac:dyDescent="0.25">
      <c r="A624" s="145"/>
      <c r="B624" s="145"/>
      <c r="C624" s="145"/>
      <c r="D624" s="145"/>
      <c r="E624" s="145"/>
      <c r="F624" s="145"/>
      <c r="G624" s="145"/>
      <c r="H624" s="145"/>
      <c r="I624" s="145"/>
      <c r="J624" s="145"/>
      <c r="K624" s="145"/>
      <c r="L624" s="145"/>
      <c r="M624" s="145"/>
      <c r="N624" s="145"/>
      <c r="O624" s="145"/>
      <c r="P624" s="145"/>
      <c r="Q624" s="145"/>
      <c r="R624" s="145"/>
      <c r="S624" s="145"/>
      <c r="T624" s="145"/>
      <c r="U624" s="145"/>
      <c r="V624" s="145"/>
      <c r="W624" s="145"/>
      <c r="X624" s="145"/>
      <c r="Y624" s="145"/>
      <c r="Z624" s="145"/>
    </row>
    <row r="625" spans="1:26" ht="15.75" x14ac:dyDescent="0.25">
      <c r="A625" s="145"/>
      <c r="B625" s="145"/>
      <c r="C625" s="145"/>
      <c r="D625" s="145"/>
      <c r="E625" s="145"/>
      <c r="F625" s="145"/>
      <c r="G625" s="145"/>
      <c r="H625" s="145"/>
      <c r="I625" s="145"/>
      <c r="J625" s="145"/>
      <c r="K625" s="145"/>
      <c r="L625" s="145"/>
      <c r="M625" s="145"/>
      <c r="N625" s="145"/>
      <c r="O625" s="145"/>
      <c r="P625" s="145"/>
      <c r="Q625" s="145"/>
      <c r="R625" s="145"/>
      <c r="S625" s="145"/>
      <c r="T625" s="145"/>
      <c r="U625" s="145"/>
      <c r="V625" s="145"/>
      <c r="W625" s="145"/>
      <c r="X625" s="145"/>
      <c r="Y625" s="145"/>
      <c r="Z625" s="145"/>
    </row>
    <row r="626" spans="1:26" ht="15.75" x14ac:dyDescent="0.25">
      <c r="A626" s="145"/>
      <c r="B626" s="145"/>
      <c r="C626" s="145"/>
      <c r="D626" s="145"/>
      <c r="E626" s="145"/>
      <c r="F626" s="145"/>
      <c r="G626" s="145"/>
      <c r="H626" s="145"/>
      <c r="I626" s="145"/>
      <c r="J626" s="145"/>
      <c r="K626" s="145"/>
      <c r="L626" s="145"/>
      <c r="M626" s="145"/>
      <c r="N626" s="145"/>
      <c r="O626" s="145"/>
      <c r="P626" s="145"/>
      <c r="Q626" s="145"/>
      <c r="R626" s="145"/>
      <c r="S626" s="145"/>
      <c r="T626" s="145"/>
      <c r="U626" s="145"/>
      <c r="V626" s="145"/>
      <c r="W626" s="145"/>
      <c r="X626" s="145"/>
      <c r="Y626" s="145"/>
      <c r="Z626" s="145"/>
    </row>
    <row r="627" spans="1:26" ht="15.75" x14ac:dyDescent="0.25">
      <c r="A627" s="145"/>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row>
    <row r="628" spans="1:26" ht="15.75" x14ac:dyDescent="0.25">
      <c r="A628" s="145"/>
      <c r="B628" s="145"/>
      <c r="C628" s="145"/>
      <c r="D628" s="145"/>
      <c r="E628" s="145"/>
      <c r="F628" s="145"/>
      <c r="G628" s="145"/>
      <c r="H628" s="145"/>
      <c r="I628" s="145"/>
      <c r="J628" s="145"/>
      <c r="K628" s="145"/>
      <c r="L628" s="145"/>
      <c r="M628" s="145"/>
      <c r="N628" s="145"/>
      <c r="O628" s="145"/>
      <c r="P628" s="145"/>
      <c r="Q628" s="145"/>
      <c r="R628" s="145"/>
      <c r="S628" s="145"/>
      <c r="T628" s="145"/>
      <c r="U628" s="145"/>
      <c r="V628" s="145"/>
      <c r="W628" s="145"/>
      <c r="X628" s="145"/>
      <c r="Y628" s="145"/>
      <c r="Z628" s="145"/>
    </row>
    <row r="629" spans="1:26" ht="15.75" x14ac:dyDescent="0.25">
      <c r="A629" s="145"/>
      <c r="B629" s="145"/>
      <c r="C629" s="145"/>
      <c r="D629" s="145"/>
      <c r="E629" s="145"/>
      <c r="F629" s="145"/>
      <c r="G629" s="145"/>
      <c r="H629" s="145"/>
      <c r="I629" s="145"/>
      <c r="J629" s="145"/>
      <c r="K629" s="145"/>
      <c r="L629" s="145"/>
      <c r="M629" s="145"/>
      <c r="N629" s="145"/>
      <c r="O629" s="145"/>
      <c r="P629" s="145"/>
      <c r="Q629" s="145"/>
      <c r="R629" s="145"/>
      <c r="S629" s="145"/>
      <c r="T629" s="145"/>
      <c r="U629" s="145"/>
      <c r="V629" s="145"/>
      <c r="W629" s="145"/>
      <c r="X629" s="145"/>
      <c r="Y629" s="145"/>
      <c r="Z629" s="145"/>
    </row>
    <row r="630" spans="1:26" ht="15.75" x14ac:dyDescent="0.25">
      <c r="A630" s="145"/>
      <c r="B630" s="145"/>
      <c r="C630" s="145"/>
      <c r="D630" s="145"/>
      <c r="E630" s="145"/>
      <c r="F630" s="145"/>
      <c r="G630" s="145"/>
      <c r="H630" s="145"/>
      <c r="I630" s="145"/>
      <c r="J630" s="145"/>
      <c r="K630" s="145"/>
      <c r="L630" s="145"/>
      <c r="M630" s="145"/>
      <c r="N630" s="145"/>
      <c r="O630" s="145"/>
      <c r="P630" s="145"/>
      <c r="Q630" s="145"/>
      <c r="R630" s="145"/>
      <c r="S630" s="145"/>
      <c r="T630" s="145"/>
      <c r="U630" s="145"/>
      <c r="V630" s="145"/>
      <c r="W630" s="145"/>
      <c r="X630" s="145"/>
      <c r="Y630" s="145"/>
      <c r="Z630" s="145"/>
    </row>
    <row r="631" spans="1:26" ht="15.75" x14ac:dyDescent="0.25">
      <c r="A631" s="145"/>
      <c r="B631" s="145"/>
      <c r="C631" s="145"/>
      <c r="D631" s="145"/>
      <c r="E631" s="145"/>
      <c r="F631" s="145"/>
      <c r="G631" s="145"/>
      <c r="H631" s="145"/>
      <c r="I631" s="145"/>
      <c r="J631" s="145"/>
      <c r="K631" s="145"/>
      <c r="L631" s="145"/>
      <c r="M631" s="145"/>
      <c r="N631" s="145"/>
      <c r="O631" s="145"/>
      <c r="P631" s="145"/>
      <c r="Q631" s="145"/>
      <c r="R631" s="145"/>
      <c r="S631" s="145"/>
      <c r="T631" s="145"/>
      <c r="U631" s="145"/>
      <c r="V631" s="145"/>
      <c r="W631" s="145"/>
      <c r="X631" s="145"/>
      <c r="Y631" s="145"/>
      <c r="Z631" s="145"/>
    </row>
    <row r="632" spans="1:26" ht="15.75" x14ac:dyDescent="0.25">
      <c r="A632" s="145"/>
      <c r="B632" s="145"/>
      <c r="C632" s="145"/>
      <c r="D632" s="145"/>
      <c r="E632" s="145"/>
      <c r="F632" s="145"/>
      <c r="G632" s="145"/>
      <c r="H632" s="145"/>
      <c r="I632" s="145"/>
      <c r="J632" s="145"/>
      <c r="K632" s="145"/>
      <c r="L632" s="145"/>
      <c r="M632" s="145"/>
      <c r="N632" s="145"/>
      <c r="O632" s="145"/>
      <c r="P632" s="145"/>
      <c r="Q632" s="145"/>
      <c r="R632" s="145"/>
      <c r="S632" s="145"/>
      <c r="T632" s="145"/>
      <c r="U632" s="145"/>
      <c r="V632" s="145"/>
      <c r="W632" s="145"/>
      <c r="X632" s="145"/>
      <c r="Y632" s="145"/>
      <c r="Z632" s="145"/>
    </row>
    <row r="633" spans="1:26" ht="15.75" x14ac:dyDescent="0.25">
      <c r="A633" s="145"/>
      <c r="B633" s="145"/>
      <c r="C633" s="145"/>
      <c r="D633" s="145"/>
      <c r="E633" s="145"/>
      <c r="F633" s="145"/>
      <c r="G633" s="145"/>
      <c r="H633" s="145"/>
      <c r="I633" s="145"/>
      <c r="J633" s="145"/>
      <c r="K633" s="145"/>
      <c r="L633" s="145"/>
      <c r="M633" s="145"/>
      <c r="N633" s="145"/>
      <c r="O633" s="145"/>
      <c r="P633" s="145"/>
      <c r="Q633" s="145"/>
      <c r="R633" s="145"/>
      <c r="S633" s="145"/>
      <c r="T633" s="145"/>
      <c r="U633" s="145"/>
      <c r="V633" s="145"/>
      <c r="W633" s="145"/>
      <c r="X633" s="145"/>
      <c r="Y633" s="145"/>
      <c r="Z633" s="145"/>
    </row>
    <row r="634" spans="1:26" ht="15.75" x14ac:dyDescent="0.25">
      <c r="A634" s="145"/>
      <c r="B634" s="145"/>
      <c r="C634" s="145"/>
      <c r="D634" s="145"/>
      <c r="E634" s="145"/>
      <c r="F634" s="145"/>
      <c r="G634" s="145"/>
      <c r="H634" s="145"/>
      <c r="I634" s="145"/>
      <c r="J634" s="145"/>
      <c r="K634" s="145"/>
      <c r="L634" s="145"/>
      <c r="M634" s="145"/>
      <c r="N634" s="145"/>
      <c r="O634" s="145"/>
      <c r="P634" s="145"/>
      <c r="Q634" s="145"/>
      <c r="R634" s="145"/>
      <c r="S634" s="145"/>
      <c r="T634" s="145"/>
      <c r="U634" s="145"/>
      <c r="V634" s="145"/>
      <c r="W634" s="145"/>
      <c r="X634" s="145"/>
      <c r="Y634" s="145"/>
      <c r="Z634" s="145"/>
    </row>
    <row r="635" spans="1:26" ht="15.75" x14ac:dyDescent="0.25">
      <c r="A635" s="145"/>
      <c r="B635" s="145"/>
      <c r="C635" s="145"/>
      <c r="D635" s="145"/>
      <c r="E635" s="145"/>
      <c r="F635" s="145"/>
      <c r="G635" s="145"/>
      <c r="H635" s="145"/>
      <c r="I635" s="145"/>
      <c r="J635" s="145"/>
      <c r="K635" s="145"/>
      <c r="L635" s="145"/>
      <c r="M635" s="145"/>
      <c r="N635" s="145"/>
      <c r="O635" s="145"/>
      <c r="P635" s="145"/>
      <c r="Q635" s="145"/>
      <c r="R635" s="145"/>
      <c r="S635" s="145"/>
      <c r="T635" s="145"/>
      <c r="U635" s="145"/>
      <c r="V635" s="145"/>
      <c r="W635" s="145"/>
      <c r="X635" s="145"/>
      <c r="Y635" s="145"/>
      <c r="Z635" s="145"/>
    </row>
    <row r="636" spans="1:26" ht="15.75" x14ac:dyDescent="0.25">
      <c r="A636" s="145"/>
      <c r="B636" s="145"/>
      <c r="C636" s="145"/>
      <c r="D636" s="145"/>
      <c r="E636" s="145"/>
      <c r="F636" s="145"/>
      <c r="G636" s="145"/>
      <c r="H636" s="145"/>
      <c r="I636" s="145"/>
      <c r="J636" s="145"/>
      <c r="K636" s="145"/>
      <c r="L636" s="145"/>
      <c r="M636" s="145"/>
      <c r="N636" s="145"/>
      <c r="O636" s="145"/>
      <c r="P636" s="145"/>
      <c r="Q636" s="145"/>
      <c r="R636" s="145"/>
      <c r="S636" s="145"/>
      <c r="T636" s="145"/>
      <c r="U636" s="145"/>
      <c r="V636" s="145"/>
      <c r="W636" s="145"/>
      <c r="X636" s="145"/>
      <c r="Y636" s="145"/>
      <c r="Z636" s="145"/>
    </row>
    <row r="637" spans="1:26" ht="15.75" x14ac:dyDescent="0.25">
      <c r="A637" s="145"/>
      <c r="B637" s="145"/>
      <c r="C637" s="145"/>
      <c r="D637" s="145"/>
      <c r="E637" s="145"/>
      <c r="F637" s="145"/>
      <c r="G637" s="145"/>
      <c r="H637" s="145"/>
      <c r="I637" s="145"/>
      <c r="J637" s="145"/>
      <c r="K637" s="145"/>
      <c r="L637" s="145"/>
      <c r="M637" s="145"/>
      <c r="N637" s="145"/>
      <c r="O637" s="145"/>
      <c r="P637" s="145"/>
      <c r="Q637" s="145"/>
      <c r="R637" s="145"/>
      <c r="S637" s="145"/>
      <c r="T637" s="145"/>
      <c r="U637" s="145"/>
      <c r="V637" s="145"/>
      <c r="W637" s="145"/>
      <c r="X637" s="145"/>
      <c r="Y637" s="145"/>
      <c r="Z637" s="145"/>
    </row>
    <row r="638" spans="1:26" ht="15.75" x14ac:dyDescent="0.25">
      <c r="A638" s="145"/>
      <c r="B638" s="145"/>
      <c r="C638" s="145"/>
      <c r="D638" s="145"/>
      <c r="E638" s="145"/>
      <c r="F638" s="145"/>
      <c r="G638" s="145"/>
      <c r="H638" s="145"/>
      <c r="I638" s="145"/>
      <c r="J638" s="145"/>
      <c r="K638" s="145"/>
      <c r="L638" s="145"/>
      <c r="M638" s="145"/>
      <c r="N638" s="145"/>
      <c r="O638" s="145"/>
      <c r="P638" s="145"/>
      <c r="Q638" s="145"/>
      <c r="R638" s="145"/>
      <c r="S638" s="145"/>
      <c r="T638" s="145"/>
      <c r="U638" s="145"/>
      <c r="V638" s="145"/>
      <c r="W638" s="145"/>
      <c r="X638" s="145"/>
      <c r="Y638" s="145"/>
      <c r="Z638" s="145"/>
    </row>
    <row r="639" spans="1:26" ht="15.75" x14ac:dyDescent="0.25">
      <c r="A639" s="145"/>
      <c r="B639" s="145"/>
      <c r="C639" s="145"/>
      <c r="D639" s="145"/>
      <c r="E639" s="145"/>
      <c r="F639" s="145"/>
      <c r="G639" s="145"/>
      <c r="H639" s="145"/>
      <c r="I639" s="145"/>
      <c r="J639" s="145"/>
      <c r="K639" s="145"/>
      <c r="L639" s="145"/>
      <c r="M639" s="145"/>
      <c r="N639" s="145"/>
      <c r="O639" s="145"/>
      <c r="P639" s="145"/>
      <c r="Q639" s="145"/>
      <c r="R639" s="145"/>
      <c r="S639" s="145"/>
      <c r="T639" s="145"/>
      <c r="U639" s="145"/>
      <c r="V639" s="145"/>
      <c r="W639" s="145"/>
      <c r="X639" s="145"/>
      <c r="Y639" s="145"/>
      <c r="Z639" s="145"/>
    </row>
    <row r="640" spans="1:26" ht="15.75" x14ac:dyDescent="0.25">
      <c r="A640" s="145"/>
      <c r="B640" s="145"/>
      <c r="C640" s="145"/>
      <c r="D640" s="145"/>
      <c r="E640" s="145"/>
      <c r="F640" s="145"/>
      <c r="G640" s="145"/>
      <c r="H640" s="145"/>
      <c r="I640" s="145"/>
      <c r="J640" s="145"/>
      <c r="K640" s="145"/>
      <c r="L640" s="145"/>
      <c r="M640" s="145"/>
      <c r="N640" s="145"/>
      <c r="O640" s="145"/>
      <c r="P640" s="145"/>
      <c r="Q640" s="145"/>
      <c r="R640" s="145"/>
      <c r="S640" s="145"/>
      <c r="T640" s="145"/>
      <c r="U640" s="145"/>
      <c r="V640" s="145"/>
      <c r="W640" s="145"/>
      <c r="X640" s="145"/>
      <c r="Y640" s="145"/>
      <c r="Z640" s="145"/>
    </row>
    <row r="641" spans="1:26" ht="15.75" x14ac:dyDescent="0.25">
      <c r="A641" s="145"/>
      <c r="B641" s="145"/>
      <c r="C641" s="145"/>
      <c r="D641" s="145"/>
      <c r="E641" s="145"/>
      <c r="F641" s="145"/>
      <c r="G641" s="145"/>
      <c r="H641" s="145"/>
      <c r="I641" s="145"/>
      <c r="J641" s="145"/>
      <c r="K641" s="145"/>
      <c r="L641" s="145"/>
      <c r="M641" s="145"/>
      <c r="N641" s="145"/>
      <c r="O641" s="145"/>
      <c r="P641" s="145"/>
      <c r="Q641" s="145"/>
      <c r="R641" s="145"/>
      <c r="S641" s="145"/>
      <c r="T641" s="145"/>
      <c r="U641" s="145"/>
      <c r="V641" s="145"/>
      <c r="W641" s="145"/>
      <c r="X641" s="145"/>
      <c r="Y641" s="145"/>
      <c r="Z641" s="145"/>
    </row>
    <row r="642" spans="1:26" ht="15.75" x14ac:dyDescent="0.25">
      <c r="A642" s="145"/>
      <c r="B642" s="145"/>
      <c r="C642" s="145"/>
      <c r="D642" s="145"/>
      <c r="E642" s="145"/>
      <c r="F642" s="145"/>
      <c r="G642" s="145"/>
      <c r="H642" s="145"/>
      <c r="I642" s="145"/>
      <c r="J642" s="145"/>
      <c r="K642" s="145"/>
      <c r="L642" s="145"/>
      <c r="M642" s="145"/>
      <c r="N642" s="145"/>
      <c r="O642" s="145"/>
      <c r="P642" s="145"/>
      <c r="Q642" s="145"/>
      <c r="R642" s="145"/>
      <c r="S642" s="145"/>
      <c r="T642" s="145"/>
      <c r="U642" s="145"/>
      <c r="V642" s="145"/>
      <c r="W642" s="145"/>
      <c r="X642" s="145"/>
      <c r="Y642" s="145"/>
      <c r="Z642" s="145"/>
    </row>
    <row r="643" spans="1:26" ht="15.75" x14ac:dyDescent="0.25">
      <c r="A643" s="145"/>
      <c r="B643" s="145"/>
      <c r="C643" s="145"/>
      <c r="D643" s="145"/>
      <c r="E643" s="145"/>
      <c r="F643" s="145"/>
      <c r="G643" s="145"/>
      <c r="H643" s="145"/>
      <c r="I643" s="145"/>
      <c r="J643" s="145"/>
      <c r="K643" s="145"/>
      <c r="L643" s="145"/>
      <c r="M643" s="145"/>
      <c r="N643" s="145"/>
      <c r="O643" s="145"/>
      <c r="P643" s="145"/>
      <c r="Q643" s="145"/>
      <c r="R643" s="145"/>
      <c r="S643" s="145"/>
      <c r="T643" s="145"/>
      <c r="U643" s="145"/>
      <c r="V643" s="145"/>
      <c r="W643" s="145"/>
      <c r="X643" s="145"/>
      <c r="Y643" s="145"/>
      <c r="Z643" s="145"/>
    </row>
    <row r="644" spans="1:26" ht="15.75" x14ac:dyDescent="0.25">
      <c r="A644" s="145"/>
      <c r="B644" s="145"/>
      <c r="C644" s="145"/>
      <c r="D644" s="145"/>
      <c r="E644" s="145"/>
      <c r="F644" s="145"/>
      <c r="G644" s="145"/>
      <c r="H644" s="145"/>
      <c r="I644" s="145"/>
      <c r="J644" s="145"/>
      <c r="K644" s="145"/>
      <c r="L644" s="145"/>
      <c r="M644" s="145"/>
      <c r="N644" s="145"/>
      <c r="O644" s="145"/>
      <c r="P644" s="145"/>
      <c r="Q644" s="145"/>
      <c r="R644" s="145"/>
      <c r="S644" s="145"/>
      <c r="T644" s="145"/>
      <c r="U644" s="145"/>
      <c r="V644" s="145"/>
      <c r="W644" s="145"/>
      <c r="X644" s="145"/>
      <c r="Y644" s="145"/>
      <c r="Z644" s="145"/>
    </row>
    <row r="645" spans="1:26" ht="15.75" x14ac:dyDescent="0.25">
      <c r="A645" s="145"/>
      <c r="B645" s="145"/>
      <c r="C645" s="145"/>
      <c r="D645" s="145"/>
      <c r="E645" s="145"/>
      <c r="F645" s="145"/>
      <c r="G645" s="145"/>
      <c r="H645" s="145"/>
      <c r="I645" s="145"/>
      <c r="J645" s="145"/>
      <c r="K645" s="145"/>
      <c r="L645" s="145"/>
      <c r="M645" s="145"/>
      <c r="N645" s="145"/>
      <c r="O645" s="145"/>
      <c r="P645" s="145"/>
      <c r="Q645" s="145"/>
      <c r="R645" s="145"/>
      <c r="S645" s="145"/>
      <c r="T645" s="145"/>
      <c r="U645" s="145"/>
      <c r="V645" s="145"/>
      <c r="W645" s="145"/>
      <c r="X645" s="145"/>
      <c r="Y645" s="145"/>
      <c r="Z645" s="145"/>
    </row>
    <row r="646" spans="1:26" ht="15.75" x14ac:dyDescent="0.25">
      <c r="A646" s="145"/>
      <c r="B646" s="145"/>
      <c r="C646" s="145"/>
      <c r="D646" s="145"/>
      <c r="E646" s="145"/>
      <c r="F646" s="145"/>
      <c r="G646" s="145"/>
      <c r="H646" s="145"/>
      <c r="I646" s="145"/>
      <c r="J646" s="145"/>
      <c r="K646" s="145"/>
      <c r="L646" s="145"/>
      <c r="M646" s="145"/>
      <c r="N646" s="145"/>
      <c r="O646" s="145"/>
      <c r="P646" s="145"/>
      <c r="Q646" s="145"/>
      <c r="R646" s="145"/>
      <c r="S646" s="145"/>
      <c r="T646" s="145"/>
      <c r="U646" s="145"/>
      <c r="V646" s="145"/>
      <c r="W646" s="145"/>
      <c r="X646" s="145"/>
      <c r="Y646" s="145"/>
      <c r="Z646" s="145"/>
    </row>
    <row r="647" spans="1:26" ht="15.75" x14ac:dyDescent="0.25">
      <c r="A647" s="145"/>
      <c r="B647" s="145"/>
      <c r="C647" s="145"/>
      <c r="D647" s="145"/>
      <c r="E647" s="145"/>
      <c r="F647" s="145"/>
      <c r="G647" s="145"/>
      <c r="H647" s="145"/>
      <c r="I647" s="145"/>
      <c r="J647" s="145"/>
      <c r="K647" s="145"/>
      <c r="L647" s="145"/>
      <c r="M647" s="145"/>
      <c r="N647" s="145"/>
      <c r="O647" s="145"/>
      <c r="P647" s="145"/>
      <c r="Q647" s="145"/>
      <c r="R647" s="145"/>
      <c r="S647" s="145"/>
      <c r="T647" s="145"/>
      <c r="U647" s="145"/>
      <c r="V647" s="145"/>
      <c r="W647" s="145"/>
      <c r="X647" s="145"/>
      <c r="Y647" s="145"/>
      <c r="Z647" s="145"/>
    </row>
    <row r="648" spans="1:26" ht="15.75" x14ac:dyDescent="0.25">
      <c r="A648" s="145"/>
      <c r="B648" s="145"/>
      <c r="C648" s="145"/>
      <c r="D648" s="145"/>
      <c r="E648" s="145"/>
      <c r="F648" s="145"/>
      <c r="G648" s="145"/>
      <c r="H648" s="145"/>
      <c r="I648" s="145"/>
      <c r="J648" s="145"/>
      <c r="K648" s="145"/>
      <c r="L648" s="145"/>
      <c r="M648" s="145"/>
      <c r="N648" s="145"/>
      <c r="O648" s="145"/>
      <c r="P648" s="145"/>
      <c r="Q648" s="145"/>
      <c r="R648" s="145"/>
      <c r="S648" s="145"/>
      <c r="T648" s="145"/>
      <c r="U648" s="145"/>
      <c r="V648" s="145"/>
      <c r="W648" s="145"/>
      <c r="X648" s="145"/>
      <c r="Y648" s="145"/>
      <c r="Z648" s="145"/>
    </row>
    <row r="649" spans="1:26" ht="15.75" x14ac:dyDescent="0.25">
      <c r="A649" s="145"/>
      <c r="B649" s="145"/>
      <c r="C649" s="145"/>
      <c r="D649" s="145"/>
      <c r="E649" s="145"/>
      <c r="F649" s="145"/>
      <c r="G649" s="145"/>
      <c r="H649" s="145"/>
      <c r="I649" s="145"/>
      <c r="J649" s="145"/>
      <c r="K649" s="145"/>
      <c r="L649" s="145"/>
      <c r="M649" s="145"/>
      <c r="N649" s="145"/>
      <c r="O649" s="145"/>
      <c r="P649" s="145"/>
      <c r="Q649" s="145"/>
      <c r="R649" s="145"/>
      <c r="S649" s="145"/>
      <c r="T649" s="145"/>
      <c r="U649" s="145"/>
      <c r="V649" s="145"/>
      <c r="W649" s="145"/>
      <c r="X649" s="145"/>
      <c r="Y649" s="145"/>
      <c r="Z649" s="145"/>
    </row>
    <row r="650" spans="1:26" ht="15.75" x14ac:dyDescent="0.25">
      <c r="A650" s="145"/>
      <c r="B650" s="145"/>
      <c r="C650" s="145"/>
      <c r="D650" s="145"/>
      <c r="E650" s="145"/>
      <c r="F650" s="145"/>
      <c r="G650" s="145"/>
      <c r="H650" s="145"/>
      <c r="I650" s="145"/>
      <c r="J650" s="145"/>
      <c r="K650" s="145"/>
      <c r="L650" s="145"/>
      <c r="M650" s="145"/>
      <c r="N650" s="145"/>
      <c r="O650" s="145"/>
      <c r="P650" s="145"/>
      <c r="Q650" s="145"/>
      <c r="R650" s="145"/>
      <c r="S650" s="145"/>
      <c r="T650" s="145"/>
      <c r="U650" s="145"/>
      <c r="V650" s="145"/>
      <c r="W650" s="145"/>
      <c r="X650" s="145"/>
      <c r="Y650" s="145"/>
      <c r="Z650" s="145"/>
    </row>
    <row r="651" spans="1:26" ht="15.75" x14ac:dyDescent="0.25">
      <c r="A651" s="145"/>
      <c r="B651" s="145"/>
      <c r="C651" s="145"/>
      <c r="D651" s="145"/>
      <c r="E651" s="145"/>
      <c r="F651" s="145"/>
      <c r="G651" s="145"/>
      <c r="H651" s="145"/>
      <c r="I651" s="145"/>
      <c r="J651" s="145"/>
      <c r="K651" s="145"/>
      <c r="L651" s="145"/>
      <c r="M651" s="145"/>
      <c r="N651" s="145"/>
      <c r="O651" s="145"/>
      <c r="P651" s="145"/>
      <c r="Q651" s="145"/>
      <c r="R651" s="145"/>
      <c r="S651" s="145"/>
      <c r="T651" s="145"/>
      <c r="U651" s="145"/>
      <c r="V651" s="145"/>
      <c r="W651" s="145"/>
      <c r="X651" s="145"/>
      <c r="Y651" s="145"/>
      <c r="Z651" s="145"/>
    </row>
    <row r="652" spans="1:26" ht="15.75" x14ac:dyDescent="0.25">
      <c r="A652" s="145"/>
      <c r="B652" s="145"/>
      <c r="C652" s="145"/>
      <c r="D652" s="145"/>
      <c r="E652" s="145"/>
      <c r="F652" s="145"/>
      <c r="G652" s="145"/>
      <c r="H652" s="145"/>
      <c r="I652" s="145"/>
      <c r="J652" s="145"/>
      <c r="K652" s="145"/>
      <c r="L652" s="145"/>
      <c r="M652" s="145"/>
      <c r="N652" s="145"/>
      <c r="O652" s="145"/>
      <c r="P652" s="145"/>
      <c r="Q652" s="145"/>
      <c r="R652" s="145"/>
      <c r="S652" s="145"/>
      <c r="T652" s="145"/>
      <c r="U652" s="145"/>
      <c r="V652" s="145"/>
      <c r="W652" s="145"/>
      <c r="X652" s="145"/>
      <c r="Y652" s="145"/>
      <c r="Z652" s="145"/>
    </row>
    <row r="653" spans="1:26" ht="15.75" x14ac:dyDescent="0.25">
      <c r="A653" s="145"/>
      <c r="B653" s="145"/>
      <c r="C653" s="145"/>
      <c r="D653" s="145"/>
      <c r="E653" s="145"/>
      <c r="F653" s="145"/>
      <c r="G653" s="145"/>
      <c r="H653" s="145"/>
      <c r="I653" s="145"/>
      <c r="J653" s="145"/>
      <c r="K653" s="145"/>
      <c r="L653" s="145"/>
      <c r="M653" s="145"/>
      <c r="N653" s="145"/>
      <c r="O653" s="145"/>
      <c r="P653" s="145"/>
      <c r="Q653" s="145"/>
      <c r="R653" s="145"/>
      <c r="S653" s="145"/>
      <c r="T653" s="145"/>
      <c r="U653" s="145"/>
      <c r="V653" s="145"/>
      <c r="W653" s="145"/>
      <c r="X653" s="145"/>
      <c r="Y653" s="145"/>
      <c r="Z653" s="145"/>
    </row>
    <row r="654" spans="1:26" ht="15.75" x14ac:dyDescent="0.25">
      <c r="A654" s="145"/>
      <c r="B654" s="145"/>
      <c r="C654" s="145"/>
      <c r="D654" s="145"/>
      <c r="E654" s="145"/>
      <c r="F654" s="145"/>
      <c r="G654" s="145"/>
      <c r="H654" s="145"/>
      <c r="I654" s="145"/>
      <c r="J654" s="145"/>
      <c r="K654" s="145"/>
      <c r="L654" s="145"/>
      <c r="M654" s="145"/>
      <c r="N654" s="145"/>
      <c r="O654" s="145"/>
      <c r="P654" s="145"/>
      <c r="Q654" s="145"/>
      <c r="R654" s="145"/>
      <c r="S654" s="145"/>
      <c r="T654" s="145"/>
      <c r="U654" s="145"/>
      <c r="V654" s="145"/>
      <c r="W654" s="145"/>
      <c r="X654" s="145"/>
      <c r="Y654" s="145"/>
      <c r="Z654" s="145"/>
    </row>
    <row r="655" spans="1:26" ht="15.75" x14ac:dyDescent="0.25">
      <c r="A655" s="145"/>
      <c r="B655" s="145"/>
      <c r="C655" s="145"/>
      <c r="D655" s="145"/>
      <c r="E655" s="145"/>
      <c r="F655" s="145"/>
      <c r="G655" s="145"/>
      <c r="H655" s="145"/>
      <c r="I655" s="145"/>
      <c r="J655" s="145"/>
      <c r="K655" s="145"/>
      <c r="L655" s="145"/>
      <c r="M655" s="145"/>
      <c r="N655" s="145"/>
      <c r="O655" s="145"/>
      <c r="P655" s="145"/>
      <c r="Q655" s="145"/>
      <c r="R655" s="145"/>
      <c r="S655" s="145"/>
      <c r="T655" s="145"/>
      <c r="U655" s="145"/>
      <c r="V655" s="145"/>
      <c r="W655" s="145"/>
      <c r="X655" s="145"/>
      <c r="Y655" s="145"/>
      <c r="Z655" s="145"/>
    </row>
    <row r="656" spans="1:26" ht="15.75" x14ac:dyDescent="0.25">
      <c r="A656" s="145"/>
      <c r="B656" s="145"/>
      <c r="C656" s="145"/>
      <c r="D656" s="145"/>
      <c r="E656" s="145"/>
      <c r="F656" s="145"/>
      <c r="G656" s="145"/>
      <c r="H656" s="145"/>
      <c r="I656" s="145"/>
      <c r="J656" s="145"/>
      <c r="K656" s="145"/>
      <c r="L656" s="145"/>
      <c r="M656" s="145"/>
      <c r="N656" s="145"/>
      <c r="O656" s="145"/>
      <c r="P656" s="145"/>
      <c r="Q656" s="145"/>
      <c r="R656" s="145"/>
      <c r="S656" s="145"/>
      <c r="T656" s="145"/>
      <c r="U656" s="145"/>
      <c r="V656" s="145"/>
      <c r="W656" s="145"/>
      <c r="X656" s="145"/>
      <c r="Y656" s="145"/>
      <c r="Z656" s="145"/>
    </row>
    <row r="657" spans="1:26" ht="15.75" x14ac:dyDescent="0.25">
      <c r="A657" s="145"/>
      <c r="B657" s="145"/>
      <c r="C657" s="145"/>
      <c r="D657" s="145"/>
      <c r="E657" s="145"/>
      <c r="F657" s="145"/>
      <c r="G657" s="145"/>
      <c r="H657" s="145"/>
      <c r="I657" s="145"/>
      <c r="J657" s="145"/>
      <c r="K657" s="145"/>
      <c r="L657" s="145"/>
      <c r="M657" s="145"/>
      <c r="N657" s="145"/>
      <c r="O657" s="145"/>
      <c r="P657" s="145"/>
      <c r="Q657" s="145"/>
      <c r="R657" s="145"/>
      <c r="S657" s="145"/>
      <c r="T657" s="145"/>
      <c r="U657" s="145"/>
      <c r="V657" s="145"/>
      <c r="W657" s="145"/>
      <c r="X657" s="145"/>
      <c r="Y657" s="145"/>
      <c r="Z657" s="145"/>
    </row>
    <row r="658" spans="1:26" ht="15.75" x14ac:dyDescent="0.25">
      <c r="A658" s="145"/>
      <c r="B658" s="145"/>
      <c r="C658" s="145"/>
      <c r="D658" s="145"/>
      <c r="E658" s="145"/>
      <c r="F658" s="145"/>
      <c r="G658" s="145"/>
      <c r="H658" s="145"/>
      <c r="I658" s="145"/>
      <c r="J658" s="145"/>
      <c r="K658" s="145"/>
      <c r="L658" s="145"/>
      <c r="M658" s="145"/>
      <c r="N658" s="145"/>
      <c r="O658" s="145"/>
      <c r="P658" s="145"/>
      <c r="Q658" s="145"/>
      <c r="R658" s="145"/>
      <c r="S658" s="145"/>
      <c r="T658" s="145"/>
      <c r="U658" s="145"/>
      <c r="V658" s="145"/>
      <c r="W658" s="145"/>
      <c r="X658" s="145"/>
      <c r="Y658" s="145"/>
      <c r="Z658" s="145"/>
    </row>
    <row r="659" spans="1:26" ht="15.75" x14ac:dyDescent="0.25">
      <c r="A659" s="145"/>
      <c r="B659" s="145"/>
      <c r="C659" s="145"/>
      <c r="D659" s="145"/>
      <c r="E659" s="145"/>
      <c r="F659" s="145"/>
      <c r="G659" s="145"/>
      <c r="H659" s="145"/>
      <c r="I659" s="145"/>
      <c r="J659" s="145"/>
      <c r="K659" s="145"/>
      <c r="L659" s="145"/>
      <c r="M659" s="145"/>
      <c r="N659" s="145"/>
      <c r="O659" s="145"/>
      <c r="P659" s="145"/>
      <c r="Q659" s="145"/>
      <c r="R659" s="145"/>
      <c r="S659" s="145"/>
      <c r="T659" s="145"/>
      <c r="U659" s="145"/>
      <c r="V659" s="145"/>
      <c r="W659" s="145"/>
      <c r="X659" s="145"/>
      <c r="Y659" s="145"/>
      <c r="Z659" s="145"/>
    </row>
    <row r="660" spans="1:26" ht="15.75" x14ac:dyDescent="0.25">
      <c r="A660" s="145"/>
      <c r="B660" s="145"/>
      <c r="C660" s="145"/>
      <c r="D660" s="145"/>
      <c r="E660" s="145"/>
      <c r="F660" s="145"/>
      <c r="G660" s="145"/>
      <c r="H660" s="145"/>
      <c r="I660" s="145"/>
      <c r="J660" s="145"/>
      <c r="K660" s="145"/>
      <c r="L660" s="145"/>
      <c r="M660" s="145"/>
      <c r="N660" s="145"/>
      <c r="O660" s="145"/>
      <c r="P660" s="145"/>
      <c r="Q660" s="145"/>
      <c r="R660" s="145"/>
      <c r="S660" s="145"/>
      <c r="T660" s="145"/>
      <c r="U660" s="145"/>
      <c r="V660" s="145"/>
      <c r="W660" s="145"/>
      <c r="X660" s="145"/>
      <c r="Y660" s="145"/>
      <c r="Z660" s="145"/>
    </row>
    <row r="661" spans="1:26" ht="15.75" x14ac:dyDescent="0.25">
      <c r="A661" s="145"/>
      <c r="B661" s="145"/>
      <c r="C661" s="145"/>
      <c r="D661" s="145"/>
      <c r="E661" s="145"/>
      <c r="F661" s="145"/>
      <c r="G661" s="145"/>
      <c r="H661" s="145"/>
      <c r="I661" s="145"/>
      <c r="J661" s="145"/>
      <c r="K661" s="145"/>
      <c r="L661" s="145"/>
      <c r="M661" s="145"/>
      <c r="N661" s="145"/>
      <c r="O661" s="145"/>
      <c r="P661" s="145"/>
      <c r="Q661" s="145"/>
      <c r="R661" s="145"/>
      <c r="S661" s="145"/>
      <c r="T661" s="145"/>
      <c r="U661" s="145"/>
      <c r="V661" s="145"/>
      <c r="W661" s="145"/>
      <c r="X661" s="145"/>
      <c r="Y661" s="145"/>
      <c r="Z661" s="145"/>
    </row>
    <row r="662" spans="1:26" ht="15.75" x14ac:dyDescent="0.25">
      <c r="A662" s="145"/>
      <c r="B662" s="145"/>
      <c r="C662" s="145"/>
      <c r="D662" s="145"/>
      <c r="E662" s="145"/>
      <c r="F662" s="145"/>
      <c r="G662" s="145"/>
      <c r="H662" s="145"/>
      <c r="I662" s="145"/>
      <c r="J662" s="145"/>
      <c r="K662" s="145"/>
      <c r="L662" s="145"/>
      <c r="M662" s="145"/>
      <c r="N662" s="145"/>
      <c r="O662" s="145"/>
      <c r="P662" s="145"/>
      <c r="Q662" s="145"/>
      <c r="R662" s="145"/>
      <c r="S662" s="145"/>
      <c r="T662" s="145"/>
      <c r="U662" s="145"/>
      <c r="V662" s="145"/>
      <c r="W662" s="145"/>
      <c r="X662" s="145"/>
      <c r="Y662" s="145"/>
      <c r="Z662" s="145"/>
    </row>
    <row r="663" spans="1:26" ht="15.75" x14ac:dyDescent="0.25">
      <c r="A663" s="145"/>
      <c r="B663" s="145"/>
      <c r="C663" s="145"/>
      <c r="D663" s="145"/>
      <c r="E663" s="145"/>
      <c r="F663" s="145"/>
      <c r="G663" s="145"/>
      <c r="H663" s="145"/>
      <c r="I663" s="145"/>
      <c r="J663" s="145"/>
      <c r="K663" s="145"/>
      <c r="L663" s="145"/>
      <c r="M663" s="145"/>
      <c r="N663" s="145"/>
      <c r="O663" s="145"/>
      <c r="P663" s="145"/>
      <c r="Q663" s="145"/>
      <c r="R663" s="145"/>
      <c r="S663" s="145"/>
      <c r="T663" s="145"/>
      <c r="U663" s="145"/>
      <c r="V663" s="145"/>
      <c r="W663" s="145"/>
      <c r="X663" s="145"/>
      <c r="Y663" s="145"/>
      <c r="Z663" s="145"/>
    </row>
    <row r="664" spans="1:26" ht="15.75" x14ac:dyDescent="0.25">
      <c r="A664" s="145"/>
      <c r="B664" s="145"/>
      <c r="C664" s="145"/>
      <c r="D664" s="145"/>
      <c r="E664" s="145"/>
      <c r="F664" s="145"/>
      <c r="G664" s="145"/>
      <c r="H664" s="145"/>
      <c r="I664" s="145"/>
      <c r="J664" s="145"/>
      <c r="K664" s="145"/>
      <c r="L664" s="145"/>
      <c r="M664" s="145"/>
      <c r="N664" s="145"/>
      <c r="O664" s="145"/>
      <c r="P664" s="145"/>
      <c r="Q664" s="145"/>
      <c r="R664" s="145"/>
      <c r="S664" s="145"/>
      <c r="T664" s="145"/>
      <c r="U664" s="145"/>
      <c r="V664" s="145"/>
      <c r="W664" s="145"/>
      <c r="X664" s="145"/>
      <c r="Y664" s="145"/>
      <c r="Z664" s="145"/>
    </row>
    <row r="665" spans="1:26" ht="15.75" x14ac:dyDescent="0.25">
      <c r="A665" s="145"/>
      <c r="B665" s="145"/>
      <c r="C665" s="145"/>
      <c r="D665" s="145"/>
      <c r="E665" s="145"/>
      <c r="F665" s="145"/>
      <c r="G665" s="145"/>
      <c r="H665" s="145"/>
      <c r="I665" s="145"/>
      <c r="J665" s="145"/>
      <c r="K665" s="145"/>
      <c r="L665" s="145"/>
      <c r="M665" s="145"/>
      <c r="N665" s="145"/>
      <c r="O665" s="145"/>
      <c r="P665" s="145"/>
      <c r="Q665" s="145"/>
      <c r="R665" s="145"/>
      <c r="S665" s="145"/>
      <c r="T665" s="145"/>
      <c r="U665" s="145"/>
      <c r="V665" s="145"/>
      <c r="W665" s="145"/>
      <c r="X665" s="145"/>
      <c r="Y665" s="145"/>
      <c r="Z665" s="145"/>
    </row>
    <row r="666" spans="1:26" ht="15.75" x14ac:dyDescent="0.25">
      <c r="A666" s="145"/>
      <c r="B666" s="145"/>
      <c r="C666" s="145"/>
      <c r="D666" s="145"/>
      <c r="E666" s="145"/>
      <c r="F666" s="145"/>
      <c r="G666" s="145"/>
      <c r="H666" s="145"/>
      <c r="I666" s="145"/>
      <c r="J666" s="145"/>
      <c r="K666" s="145"/>
      <c r="L666" s="145"/>
      <c r="M666" s="145"/>
      <c r="N666" s="145"/>
      <c r="O666" s="145"/>
      <c r="P666" s="145"/>
      <c r="Q666" s="145"/>
      <c r="R666" s="145"/>
      <c r="S666" s="145"/>
      <c r="T666" s="145"/>
      <c r="U666" s="145"/>
      <c r="V666" s="145"/>
      <c r="W666" s="145"/>
      <c r="X666" s="145"/>
      <c r="Y666" s="145"/>
      <c r="Z666" s="145"/>
    </row>
    <row r="667" spans="1:26" ht="15.75" x14ac:dyDescent="0.25">
      <c r="A667" s="145"/>
      <c r="B667" s="145"/>
      <c r="C667" s="145"/>
      <c r="D667" s="145"/>
      <c r="E667" s="145"/>
      <c r="F667" s="145"/>
      <c r="G667" s="145"/>
      <c r="H667" s="145"/>
      <c r="I667" s="145"/>
      <c r="J667" s="145"/>
      <c r="K667" s="145"/>
      <c r="L667" s="145"/>
      <c r="M667" s="145"/>
      <c r="N667" s="145"/>
      <c r="O667" s="145"/>
      <c r="P667" s="145"/>
      <c r="Q667" s="145"/>
      <c r="R667" s="145"/>
      <c r="S667" s="145"/>
      <c r="T667" s="145"/>
      <c r="U667" s="145"/>
      <c r="V667" s="145"/>
      <c r="W667" s="145"/>
      <c r="X667" s="145"/>
      <c r="Y667" s="145"/>
      <c r="Z667" s="145"/>
    </row>
    <row r="668" spans="1:26" ht="15.75" x14ac:dyDescent="0.25">
      <c r="A668" s="145"/>
      <c r="B668" s="145"/>
      <c r="C668" s="145"/>
      <c r="D668" s="145"/>
      <c r="E668" s="145"/>
      <c r="F668" s="145"/>
      <c r="G668" s="145"/>
      <c r="H668" s="145"/>
      <c r="I668" s="145"/>
      <c r="J668" s="145"/>
      <c r="K668" s="145"/>
      <c r="L668" s="145"/>
      <c r="M668" s="145"/>
      <c r="N668" s="145"/>
      <c r="O668" s="145"/>
      <c r="P668" s="145"/>
      <c r="Q668" s="145"/>
      <c r="R668" s="145"/>
      <c r="S668" s="145"/>
      <c r="T668" s="145"/>
      <c r="U668" s="145"/>
      <c r="V668" s="145"/>
      <c r="W668" s="145"/>
      <c r="X668" s="145"/>
      <c r="Y668" s="145"/>
      <c r="Z668" s="145"/>
    </row>
    <row r="669" spans="1:26" ht="15.75" x14ac:dyDescent="0.25">
      <c r="A669" s="145"/>
      <c r="B669" s="145"/>
      <c r="C669" s="145"/>
      <c r="D669" s="145"/>
      <c r="E669" s="145"/>
      <c r="F669" s="145"/>
      <c r="G669" s="145"/>
      <c r="H669" s="145"/>
      <c r="I669" s="145"/>
      <c r="J669" s="145"/>
      <c r="K669" s="145"/>
      <c r="L669" s="145"/>
      <c r="M669" s="145"/>
      <c r="N669" s="145"/>
      <c r="O669" s="145"/>
      <c r="P669" s="145"/>
      <c r="Q669" s="145"/>
      <c r="R669" s="145"/>
      <c r="S669" s="145"/>
      <c r="T669" s="145"/>
      <c r="U669" s="145"/>
      <c r="V669" s="145"/>
      <c r="W669" s="145"/>
      <c r="X669" s="145"/>
      <c r="Y669" s="145"/>
      <c r="Z669" s="145"/>
    </row>
    <row r="670" spans="1:26" ht="15.75" x14ac:dyDescent="0.25">
      <c r="A670" s="145"/>
      <c r="B670" s="145"/>
      <c r="C670" s="145"/>
      <c r="D670" s="145"/>
      <c r="E670" s="145"/>
      <c r="F670" s="145"/>
      <c r="G670" s="145"/>
      <c r="H670" s="145"/>
      <c r="I670" s="145"/>
      <c r="J670" s="145"/>
      <c r="K670" s="145"/>
      <c r="L670" s="145"/>
      <c r="M670" s="145"/>
      <c r="N670" s="145"/>
      <c r="O670" s="145"/>
      <c r="P670" s="145"/>
      <c r="Q670" s="145"/>
      <c r="R670" s="145"/>
      <c r="S670" s="145"/>
      <c r="T670" s="145"/>
      <c r="U670" s="145"/>
      <c r="V670" s="145"/>
      <c r="W670" s="145"/>
      <c r="X670" s="145"/>
      <c r="Y670" s="145"/>
      <c r="Z670" s="145"/>
    </row>
    <row r="671" spans="1:26" ht="15.75" x14ac:dyDescent="0.25">
      <c r="A671" s="145"/>
      <c r="B671" s="145"/>
      <c r="C671" s="145"/>
      <c r="D671" s="145"/>
      <c r="E671" s="145"/>
      <c r="F671" s="145"/>
      <c r="G671" s="145"/>
      <c r="H671" s="145"/>
      <c r="I671" s="145"/>
      <c r="J671" s="145"/>
      <c r="K671" s="145"/>
      <c r="L671" s="145"/>
      <c r="M671" s="145"/>
      <c r="N671" s="145"/>
      <c r="O671" s="145"/>
      <c r="P671" s="145"/>
      <c r="Q671" s="145"/>
      <c r="R671" s="145"/>
      <c r="S671" s="145"/>
      <c r="T671" s="145"/>
      <c r="U671" s="145"/>
      <c r="V671" s="145"/>
      <c r="W671" s="145"/>
      <c r="X671" s="145"/>
      <c r="Y671" s="145"/>
      <c r="Z671" s="145"/>
    </row>
    <row r="672" spans="1:26" ht="15.75" x14ac:dyDescent="0.25">
      <c r="A672" s="145"/>
      <c r="B672" s="145"/>
      <c r="C672" s="145"/>
      <c r="D672" s="145"/>
      <c r="E672" s="145"/>
      <c r="F672" s="145"/>
      <c r="G672" s="145"/>
      <c r="H672" s="145"/>
      <c r="I672" s="145"/>
      <c r="J672" s="145"/>
      <c r="K672" s="145"/>
      <c r="L672" s="145"/>
      <c r="M672" s="145"/>
      <c r="N672" s="145"/>
      <c r="O672" s="145"/>
      <c r="P672" s="145"/>
      <c r="Q672" s="145"/>
      <c r="R672" s="145"/>
      <c r="S672" s="145"/>
      <c r="T672" s="145"/>
      <c r="U672" s="145"/>
      <c r="V672" s="145"/>
      <c r="W672" s="145"/>
      <c r="X672" s="145"/>
      <c r="Y672" s="145"/>
      <c r="Z672" s="145"/>
    </row>
    <row r="673" spans="1:26" ht="15.75" x14ac:dyDescent="0.25">
      <c r="A673" s="145"/>
      <c r="B673" s="145"/>
      <c r="C673" s="145"/>
      <c r="D673" s="145"/>
      <c r="E673" s="145"/>
      <c r="F673" s="145"/>
      <c r="G673" s="145"/>
      <c r="H673" s="145"/>
      <c r="I673" s="145"/>
      <c r="J673" s="145"/>
      <c r="K673" s="145"/>
      <c r="L673" s="145"/>
      <c r="M673" s="145"/>
      <c r="N673" s="145"/>
      <c r="O673" s="145"/>
      <c r="P673" s="145"/>
      <c r="Q673" s="145"/>
      <c r="R673" s="145"/>
      <c r="S673" s="145"/>
      <c r="T673" s="145"/>
      <c r="U673" s="145"/>
      <c r="V673" s="145"/>
      <c r="W673" s="145"/>
      <c r="X673" s="145"/>
      <c r="Y673" s="145"/>
      <c r="Z673" s="145"/>
    </row>
    <row r="674" spans="1:26" ht="15.75" x14ac:dyDescent="0.25">
      <c r="A674" s="145"/>
      <c r="B674" s="145"/>
      <c r="C674" s="145"/>
      <c r="D674" s="145"/>
      <c r="E674" s="145"/>
      <c r="F674" s="145"/>
      <c r="G674" s="145"/>
      <c r="H674" s="145"/>
      <c r="I674" s="145"/>
      <c r="J674" s="145"/>
      <c r="K674" s="145"/>
      <c r="L674" s="145"/>
      <c r="M674" s="145"/>
      <c r="N674" s="145"/>
      <c r="O674" s="145"/>
      <c r="P674" s="145"/>
      <c r="Q674" s="145"/>
      <c r="R674" s="145"/>
      <c r="S674" s="145"/>
      <c r="T674" s="145"/>
      <c r="U674" s="145"/>
      <c r="V674" s="145"/>
      <c r="W674" s="145"/>
      <c r="X674" s="145"/>
      <c r="Y674" s="145"/>
      <c r="Z674" s="145"/>
    </row>
    <row r="675" spans="1:26" ht="15.75" x14ac:dyDescent="0.25">
      <c r="A675" s="145"/>
      <c r="B675" s="145"/>
      <c r="C675" s="145"/>
      <c r="D675" s="145"/>
      <c r="E675" s="145"/>
      <c r="F675" s="145"/>
      <c r="G675" s="145"/>
      <c r="H675" s="145"/>
      <c r="I675" s="145"/>
      <c r="J675" s="145"/>
      <c r="K675" s="145"/>
      <c r="L675" s="145"/>
      <c r="M675" s="145"/>
      <c r="N675" s="145"/>
      <c r="O675" s="145"/>
      <c r="P675" s="145"/>
      <c r="Q675" s="145"/>
      <c r="R675" s="145"/>
      <c r="S675" s="145"/>
      <c r="T675" s="145"/>
      <c r="U675" s="145"/>
      <c r="V675" s="145"/>
      <c r="W675" s="145"/>
      <c r="X675" s="145"/>
      <c r="Y675" s="145"/>
      <c r="Z675" s="145"/>
    </row>
    <row r="676" spans="1:26" ht="15.75" x14ac:dyDescent="0.25">
      <c r="A676" s="145"/>
      <c r="B676" s="145"/>
      <c r="C676" s="145"/>
      <c r="D676" s="145"/>
      <c r="E676" s="145"/>
      <c r="F676" s="145"/>
      <c r="G676" s="145"/>
      <c r="H676" s="145"/>
      <c r="I676" s="145"/>
      <c r="J676" s="145"/>
      <c r="K676" s="145"/>
      <c r="L676" s="145"/>
      <c r="M676" s="145"/>
      <c r="N676" s="145"/>
      <c r="O676" s="145"/>
      <c r="P676" s="145"/>
      <c r="Q676" s="145"/>
      <c r="R676" s="145"/>
      <c r="S676" s="145"/>
      <c r="T676" s="145"/>
      <c r="U676" s="145"/>
      <c r="V676" s="145"/>
      <c r="W676" s="145"/>
      <c r="X676" s="145"/>
      <c r="Y676" s="145"/>
      <c r="Z676" s="145"/>
    </row>
    <row r="677" spans="1:26" ht="15.75" x14ac:dyDescent="0.25">
      <c r="A677" s="145"/>
      <c r="B677" s="145"/>
      <c r="C677" s="145"/>
      <c r="D677" s="145"/>
      <c r="E677" s="145"/>
      <c r="F677" s="145"/>
      <c r="G677" s="145"/>
      <c r="H677" s="145"/>
      <c r="I677" s="145"/>
      <c r="J677" s="145"/>
      <c r="K677" s="145"/>
      <c r="L677" s="145"/>
      <c r="M677" s="145"/>
      <c r="N677" s="145"/>
      <c r="O677" s="145"/>
      <c r="P677" s="145"/>
      <c r="Q677" s="145"/>
      <c r="R677" s="145"/>
      <c r="S677" s="145"/>
      <c r="T677" s="145"/>
      <c r="U677" s="145"/>
      <c r="V677" s="145"/>
      <c r="W677" s="145"/>
      <c r="X677" s="145"/>
      <c r="Y677" s="145"/>
      <c r="Z677" s="145"/>
    </row>
    <row r="678" spans="1:26" ht="15.75" x14ac:dyDescent="0.25">
      <c r="A678" s="145"/>
      <c r="B678" s="145"/>
      <c r="C678" s="145"/>
      <c r="D678" s="145"/>
      <c r="E678" s="145"/>
      <c r="F678" s="145"/>
      <c r="G678" s="145"/>
      <c r="H678" s="145"/>
      <c r="I678" s="145"/>
      <c r="J678" s="145"/>
      <c r="K678" s="145"/>
      <c r="L678" s="145"/>
      <c r="M678" s="145"/>
      <c r="N678" s="145"/>
      <c r="O678" s="145"/>
      <c r="P678" s="145"/>
      <c r="Q678" s="145"/>
      <c r="R678" s="145"/>
      <c r="S678" s="145"/>
      <c r="T678" s="145"/>
      <c r="U678" s="145"/>
      <c r="V678" s="145"/>
      <c r="W678" s="145"/>
      <c r="X678" s="145"/>
      <c r="Y678" s="145"/>
      <c r="Z678" s="145"/>
    </row>
    <row r="679" spans="1:26" ht="15.75" x14ac:dyDescent="0.25">
      <c r="A679" s="145"/>
      <c r="B679" s="145"/>
      <c r="C679" s="145"/>
      <c r="D679" s="145"/>
      <c r="E679" s="145"/>
      <c r="F679" s="145"/>
      <c r="G679" s="145"/>
      <c r="H679" s="145"/>
      <c r="I679" s="145"/>
      <c r="J679" s="145"/>
      <c r="K679" s="145"/>
      <c r="L679" s="145"/>
      <c r="M679" s="145"/>
      <c r="N679" s="145"/>
      <c r="O679" s="145"/>
      <c r="P679" s="145"/>
      <c r="Q679" s="145"/>
      <c r="R679" s="145"/>
      <c r="S679" s="145"/>
      <c r="T679" s="145"/>
      <c r="U679" s="145"/>
      <c r="V679" s="145"/>
      <c r="W679" s="145"/>
      <c r="X679" s="145"/>
      <c r="Y679" s="145"/>
      <c r="Z679" s="145"/>
    </row>
    <row r="680" spans="1:26" ht="15.75" x14ac:dyDescent="0.25">
      <c r="A680" s="145"/>
      <c r="B680" s="145"/>
      <c r="C680" s="145"/>
      <c r="D680" s="145"/>
      <c r="E680" s="145"/>
      <c r="F680" s="145"/>
      <c r="G680" s="145"/>
      <c r="H680" s="145"/>
      <c r="I680" s="145"/>
      <c r="J680" s="145"/>
      <c r="K680" s="145"/>
      <c r="L680" s="145"/>
      <c r="M680" s="145"/>
      <c r="N680" s="145"/>
      <c r="O680" s="145"/>
      <c r="P680" s="145"/>
      <c r="Q680" s="145"/>
      <c r="R680" s="145"/>
      <c r="S680" s="145"/>
      <c r="T680" s="145"/>
      <c r="U680" s="145"/>
      <c r="V680" s="145"/>
      <c r="W680" s="145"/>
      <c r="X680" s="145"/>
      <c r="Y680" s="145"/>
      <c r="Z680" s="145"/>
    </row>
    <row r="681" spans="1:26" ht="15.75" x14ac:dyDescent="0.25">
      <c r="A681" s="145"/>
      <c r="B681" s="145"/>
      <c r="C681" s="145"/>
      <c r="D681" s="145"/>
      <c r="E681" s="145"/>
      <c r="F681" s="145"/>
      <c r="G681" s="145"/>
      <c r="H681" s="145"/>
      <c r="I681" s="145"/>
      <c r="J681" s="145"/>
      <c r="K681" s="145"/>
      <c r="L681" s="145"/>
      <c r="M681" s="145"/>
      <c r="N681" s="145"/>
      <c r="O681" s="145"/>
      <c r="P681" s="145"/>
      <c r="Q681" s="145"/>
      <c r="R681" s="145"/>
      <c r="S681" s="145"/>
      <c r="T681" s="145"/>
      <c r="U681" s="145"/>
      <c r="V681" s="145"/>
      <c r="W681" s="145"/>
      <c r="X681" s="145"/>
      <c r="Y681" s="145"/>
      <c r="Z681" s="145"/>
    </row>
    <row r="682" spans="1:26" ht="15.75" x14ac:dyDescent="0.25">
      <c r="A682" s="145"/>
      <c r="B682" s="145"/>
      <c r="C682" s="145"/>
      <c r="D682" s="145"/>
      <c r="E682" s="145"/>
      <c r="F682" s="145"/>
      <c r="G682" s="145"/>
      <c r="H682" s="145"/>
      <c r="I682" s="145"/>
      <c r="J682" s="145"/>
      <c r="K682" s="145"/>
      <c r="L682" s="145"/>
      <c r="M682" s="145"/>
      <c r="N682" s="145"/>
      <c r="O682" s="145"/>
      <c r="P682" s="145"/>
      <c r="Q682" s="145"/>
      <c r="R682" s="145"/>
      <c r="S682" s="145"/>
      <c r="T682" s="145"/>
      <c r="U682" s="145"/>
      <c r="V682" s="145"/>
      <c r="W682" s="145"/>
      <c r="X682" s="145"/>
      <c r="Y682" s="145"/>
      <c r="Z682" s="145"/>
    </row>
    <row r="683" spans="1:26" ht="15.75" x14ac:dyDescent="0.25">
      <c r="A683" s="145"/>
      <c r="B683" s="145"/>
      <c r="C683" s="145"/>
      <c r="D683" s="145"/>
      <c r="E683" s="145"/>
      <c r="F683" s="145"/>
      <c r="G683" s="145"/>
      <c r="H683" s="145"/>
      <c r="I683" s="145"/>
      <c r="J683" s="145"/>
      <c r="K683" s="145"/>
      <c r="L683" s="145"/>
      <c r="M683" s="145"/>
      <c r="N683" s="145"/>
      <c r="O683" s="145"/>
      <c r="P683" s="145"/>
      <c r="Q683" s="145"/>
      <c r="R683" s="145"/>
      <c r="S683" s="145"/>
      <c r="T683" s="145"/>
      <c r="U683" s="145"/>
      <c r="V683" s="145"/>
      <c r="W683" s="145"/>
      <c r="X683" s="145"/>
      <c r="Y683" s="145"/>
      <c r="Z683" s="145"/>
    </row>
    <row r="684" spans="1:26" ht="15.75" x14ac:dyDescent="0.25">
      <c r="A684" s="145"/>
      <c r="B684" s="145"/>
      <c r="C684" s="145"/>
      <c r="D684" s="145"/>
      <c r="E684" s="145"/>
      <c r="F684" s="145"/>
      <c r="G684" s="145"/>
      <c r="H684" s="145"/>
      <c r="I684" s="145"/>
      <c r="J684" s="145"/>
      <c r="K684" s="145"/>
      <c r="L684" s="145"/>
      <c r="M684" s="145"/>
      <c r="N684" s="145"/>
      <c r="O684" s="145"/>
      <c r="P684" s="145"/>
      <c r="Q684" s="145"/>
      <c r="R684" s="145"/>
      <c r="S684" s="145"/>
      <c r="T684" s="145"/>
      <c r="U684" s="145"/>
      <c r="V684" s="145"/>
      <c r="W684" s="145"/>
      <c r="X684" s="145"/>
      <c r="Y684" s="145"/>
      <c r="Z684" s="145"/>
    </row>
    <row r="685" spans="1:26" ht="15.75" x14ac:dyDescent="0.25">
      <c r="A685" s="145"/>
      <c r="B685" s="145"/>
      <c r="C685" s="145"/>
      <c r="D685" s="145"/>
      <c r="E685" s="145"/>
      <c r="F685" s="145"/>
      <c r="G685" s="145"/>
      <c r="H685" s="145"/>
      <c r="I685" s="145"/>
      <c r="J685" s="145"/>
      <c r="K685" s="145"/>
      <c r="L685" s="145"/>
      <c r="M685" s="145"/>
      <c r="N685" s="145"/>
      <c r="O685" s="145"/>
      <c r="P685" s="145"/>
      <c r="Q685" s="145"/>
      <c r="R685" s="145"/>
      <c r="S685" s="145"/>
      <c r="T685" s="145"/>
      <c r="U685" s="145"/>
      <c r="V685" s="145"/>
      <c r="W685" s="145"/>
      <c r="X685" s="145"/>
      <c r="Y685" s="145"/>
      <c r="Z685" s="145"/>
    </row>
    <row r="686" spans="1:26" ht="15.75" x14ac:dyDescent="0.25">
      <c r="A686" s="145"/>
      <c r="B686" s="145"/>
      <c r="C686" s="145"/>
      <c r="D686" s="145"/>
      <c r="E686" s="145"/>
      <c r="F686" s="145"/>
      <c r="G686" s="145"/>
      <c r="H686" s="145"/>
      <c r="I686" s="145"/>
      <c r="J686" s="145"/>
      <c r="K686" s="145"/>
      <c r="L686" s="145"/>
      <c r="M686" s="145"/>
      <c r="N686" s="145"/>
      <c r="O686" s="145"/>
      <c r="P686" s="145"/>
      <c r="Q686" s="145"/>
      <c r="R686" s="145"/>
      <c r="S686" s="145"/>
      <c r="T686" s="145"/>
      <c r="U686" s="145"/>
      <c r="V686" s="145"/>
      <c r="W686" s="145"/>
      <c r="X686" s="145"/>
      <c r="Y686" s="145"/>
      <c r="Z686" s="145"/>
    </row>
    <row r="687" spans="1:26" ht="15.75" x14ac:dyDescent="0.25">
      <c r="A687" s="145"/>
      <c r="B687" s="145"/>
      <c r="C687" s="145"/>
      <c r="D687" s="145"/>
      <c r="E687" s="145"/>
      <c r="F687" s="145"/>
      <c r="G687" s="145"/>
      <c r="H687" s="145"/>
      <c r="I687" s="145"/>
      <c r="J687" s="145"/>
      <c r="K687" s="145"/>
      <c r="L687" s="145"/>
      <c r="M687" s="145"/>
      <c r="N687" s="145"/>
      <c r="O687" s="145"/>
      <c r="P687" s="145"/>
      <c r="Q687" s="145"/>
      <c r="R687" s="145"/>
      <c r="S687" s="145"/>
      <c r="T687" s="145"/>
      <c r="U687" s="145"/>
      <c r="V687" s="145"/>
      <c r="W687" s="145"/>
      <c r="X687" s="145"/>
      <c r="Y687" s="145"/>
      <c r="Z687" s="145"/>
    </row>
    <row r="688" spans="1:26" ht="15.75" x14ac:dyDescent="0.25">
      <c r="A688" s="145"/>
      <c r="B688" s="145"/>
      <c r="C688" s="145"/>
      <c r="D688" s="145"/>
      <c r="E688" s="145"/>
      <c r="F688" s="145"/>
      <c r="G688" s="145"/>
      <c r="H688" s="145"/>
      <c r="I688" s="145"/>
      <c r="J688" s="145"/>
      <c r="K688" s="145"/>
      <c r="L688" s="145"/>
      <c r="M688" s="145"/>
      <c r="N688" s="145"/>
      <c r="O688" s="145"/>
      <c r="P688" s="145"/>
      <c r="Q688" s="145"/>
      <c r="R688" s="145"/>
      <c r="S688" s="145"/>
      <c r="T688" s="145"/>
      <c r="U688" s="145"/>
      <c r="V688" s="145"/>
      <c r="W688" s="145"/>
      <c r="X688" s="145"/>
      <c r="Y688" s="145"/>
      <c r="Z688" s="145"/>
    </row>
    <row r="689" spans="1:26" ht="15.75" x14ac:dyDescent="0.25">
      <c r="A689" s="145"/>
      <c r="B689" s="145"/>
      <c r="C689" s="145"/>
      <c r="D689" s="145"/>
      <c r="E689" s="145"/>
      <c r="F689" s="145"/>
      <c r="G689" s="145"/>
      <c r="H689" s="145"/>
      <c r="I689" s="145"/>
      <c r="J689" s="145"/>
      <c r="K689" s="145"/>
      <c r="L689" s="145"/>
      <c r="M689" s="145"/>
      <c r="N689" s="145"/>
      <c r="O689" s="145"/>
      <c r="P689" s="145"/>
      <c r="Q689" s="145"/>
      <c r="R689" s="145"/>
      <c r="S689" s="145"/>
      <c r="T689" s="145"/>
      <c r="U689" s="145"/>
      <c r="V689" s="145"/>
      <c r="W689" s="145"/>
      <c r="X689" s="145"/>
      <c r="Y689" s="145"/>
      <c r="Z689" s="145"/>
    </row>
    <row r="690" spans="1:26" ht="15.75" x14ac:dyDescent="0.25">
      <c r="A690" s="145"/>
      <c r="B690" s="145"/>
      <c r="C690" s="145"/>
      <c r="D690" s="145"/>
      <c r="E690" s="145"/>
      <c r="F690" s="145"/>
      <c r="G690" s="145"/>
      <c r="H690" s="145"/>
      <c r="I690" s="145"/>
      <c r="J690" s="145"/>
      <c r="K690" s="145"/>
      <c r="L690" s="145"/>
      <c r="M690" s="145"/>
      <c r="N690" s="145"/>
      <c r="O690" s="145"/>
      <c r="P690" s="145"/>
      <c r="Q690" s="145"/>
      <c r="R690" s="145"/>
      <c r="S690" s="145"/>
      <c r="T690" s="145"/>
      <c r="U690" s="145"/>
      <c r="V690" s="145"/>
      <c r="W690" s="145"/>
      <c r="X690" s="145"/>
      <c r="Y690" s="145"/>
      <c r="Z690" s="145"/>
    </row>
    <row r="691" spans="1:26" ht="15.75" x14ac:dyDescent="0.25">
      <c r="A691" s="145"/>
      <c r="B691" s="145"/>
      <c r="C691" s="145"/>
      <c r="D691" s="145"/>
      <c r="E691" s="145"/>
      <c r="F691" s="145"/>
      <c r="G691" s="145"/>
      <c r="H691" s="145"/>
      <c r="I691" s="145"/>
      <c r="J691" s="145"/>
      <c r="K691" s="145"/>
      <c r="L691" s="145"/>
      <c r="M691" s="145"/>
      <c r="N691" s="145"/>
      <c r="O691" s="145"/>
      <c r="P691" s="145"/>
      <c r="Q691" s="145"/>
      <c r="R691" s="145"/>
      <c r="S691" s="145"/>
      <c r="T691" s="145"/>
      <c r="U691" s="145"/>
      <c r="V691" s="145"/>
      <c r="W691" s="145"/>
      <c r="X691" s="145"/>
      <c r="Y691" s="145"/>
      <c r="Z691" s="145"/>
    </row>
    <row r="692" spans="1:26" ht="15.75" x14ac:dyDescent="0.25">
      <c r="A692" s="145"/>
      <c r="B692" s="145"/>
      <c r="C692" s="145"/>
      <c r="D692" s="145"/>
      <c r="E692" s="145"/>
      <c r="F692" s="145"/>
      <c r="G692" s="145"/>
      <c r="H692" s="145"/>
      <c r="I692" s="145"/>
      <c r="J692" s="145"/>
      <c r="K692" s="145"/>
      <c r="L692" s="145"/>
      <c r="M692" s="145"/>
      <c r="N692" s="145"/>
      <c r="O692" s="145"/>
      <c r="P692" s="145"/>
      <c r="Q692" s="145"/>
      <c r="R692" s="145"/>
      <c r="S692" s="145"/>
      <c r="T692" s="145"/>
      <c r="U692" s="145"/>
      <c r="V692" s="145"/>
      <c r="W692" s="145"/>
      <c r="X692" s="145"/>
      <c r="Y692" s="145"/>
      <c r="Z692" s="145"/>
    </row>
    <row r="693" spans="1:26" ht="15.75" x14ac:dyDescent="0.25">
      <c r="A693" s="145"/>
      <c r="B693" s="145"/>
      <c r="C693" s="145"/>
      <c r="D693" s="145"/>
      <c r="E693" s="145"/>
      <c r="F693" s="145"/>
      <c r="G693" s="145"/>
      <c r="H693" s="145"/>
      <c r="I693" s="145"/>
      <c r="J693" s="145"/>
      <c r="K693" s="145"/>
      <c r="L693" s="145"/>
      <c r="M693" s="145"/>
      <c r="N693" s="145"/>
      <c r="O693" s="145"/>
      <c r="P693" s="145"/>
      <c r="Q693" s="145"/>
      <c r="R693" s="145"/>
      <c r="S693" s="145"/>
      <c r="T693" s="145"/>
      <c r="U693" s="145"/>
      <c r="V693" s="145"/>
      <c r="W693" s="145"/>
      <c r="X693" s="145"/>
      <c r="Y693" s="145"/>
      <c r="Z693" s="145"/>
    </row>
    <row r="694" spans="1:26" ht="15.75" x14ac:dyDescent="0.25">
      <c r="A694" s="145"/>
      <c r="B694" s="145"/>
      <c r="C694" s="145"/>
      <c r="D694" s="145"/>
      <c r="E694" s="145"/>
      <c r="F694" s="145"/>
      <c r="G694" s="145"/>
      <c r="H694" s="145"/>
      <c r="I694" s="145"/>
      <c r="J694" s="145"/>
      <c r="K694" s="145"/>
      <c r="L694" s="145"/>
      <c r="M694" s="145"/>
      <c r="N694" s="145"/>
      <c r="O694" s="145"/>
      <c r="P694" s="145"/>
      <c r="Q694" s="145"/>
      <c r="R694" s="145"/>
      <c r="S694" s="145"/>
      <c r="T694" s="145"/>
      <c r="U694" s="145"/>
      <c r="V694" s="145"/>
      <c r="W694" s="145"/>
      <c r="X694" s="145"/>
      <c r="Y694" s="145"/>
      <c r="Z694" s="145"/>
    </row>
    <row r="695" spans="1:26" ht="15.75" x14ac:dyDescent="0.25">
      <c r="A695" s="145"/>
      <c r="B695" s="145"/>
      <c r="C695" s="145"/>
      <c r="D695" s="145"/>
      <c r="E695" s="145"/>
      <c r="F695" s="145"/>
      <c r="G695" s="145"/>
      <c r="H695" s="145"/>
      <c r="I695" s="145"/>
      <c r="J695" s="145"/>
      <c r="K695" s="145"/>
      <c r="L695" s="145"/>
      <c r="M695" s="145"/>
      <c r="N695" s="145"/>
      <c r="O695" s="145"/>
      <c r="P695" s="145"/>
      <c r="Q695" s="145"/>
      <c r="R695" s="145"/>
      <c r="S695" s="145"/>
      <c r="T695" s="145"/>
      <c r="U695" s="145"/>
      <c r="V695" s="145"/>
      <c r="W695" s="145"/>
      <c r="X695" s="145"/>
      <c r="Y695" s="145"/>
      <c r="Z695" s="145"/>
    </row>
    <row r="696" spans="1:26" ht="15.75" x14ac:dyDescent="0.25">
      <c r="A696" s="145"/>
      <c r="B696" s="145"/>
      <c r="C696" s="145"/>
      <c r="D696" s="145"/>
      <c r="E696" s="145"/>
      <c r="F696" s="145"/>
      <c r="G696" s="145"/>
      <c r="H696" s="145"/>
      <c r="I696" s="145"/>
      <c r="J696" s="145"/>
      <c r="K696" s="145"/>
      <c r="L696" s="145"/>
      <c r="M696" s="145"/>
      <c r="N696" s="145"/>
      <c r="O696" s="145"/>
      <c r="P696" s="145"/>
      <c r="Q696" s="145"/>
      <c r="R696" s="145"/>
      <c r="S696" s="145"/>
      <c r="T696" s="145"/>
      <c r="U696" s="145"/>
      <c r="V696" s="145"/>
      <c r="W696" s="145"/>
      <c r="X696" s="145"/>
      <c r="Y696" s="145"/>
      <c r="Z696" s="145"/>
    </row>
    <row r="697" spans="1:26" ht="15.75" x14ac:dyDescent="0.25">
      <c r="A697" s="145"/>
      <c r="B697" s="145"/>
      <c r="C697" s="145"/>
      <c r="D697" s="145"/>
      <c r="E697" s="145"/>
      <c r="F697" s="145"/>
      <c r="G697" s="145"/>
      <c r="H697" s="145"/>
      <c r="I697" s="145"/>
      <c r="J697" s="145"/>
      <c r="K697" s="145"/>
      <c r="L697" s="145"/>
      <c r="M697" s="145"/>
      <c r="N697" s="145"/>
      <c r="O697" s="145"/>
      <c r="P697" s="145"/>
      <c r="Q697" s="145"/>
      <c r="R697" s="145"/>
      <c r="S697" s="145"/>
      <c r="T697" s="145"/>
      <c r="U697" s="145"/>
      <c r="V697" s="145"/>
      <c r="W697" s="145"/>
      <c r="X697" s="145"/>
      <c r="Y697" s="145"/>
      <c r="Z697" s="145"/>
    </row>
    <row r="698" spans="1:26" ht="15.75" x14ac:dyDescent="0.25">
      <c r="A698" s="145"/>
      <c r="B698" s="145"/>
      <c r="C698" s="145"/>
      <c r="D698" s="145"/>
      <c r="E698" s="145"/>
      <c r="F698" s="145"/>
      <c r="G698" s="145"/>
      <c r="H698" s="145"/>
      <c r="I698" s="145"/>
      <c r="J698" s="145"/>
      <c r="K698" s="145"/>
      <c r="L698" s="145"/>
      <c r="M698" s="145"/>
      <c r="N698" s="145"/>
      <c r="O698" s="145"/>
      <c r="P698" s="145"/>
      <c r="Q698" s="145"/>
      <c r="R698" s="145"/>
      <c r="S698" s="145"/>
      <c r="T698" s="145"/>
      <c r="U698" s="145"/>
      <c r="V698" s="145"/>
      <c r="W698" s="145"/>
      <c r="X698" s="145"/>
      <c r="Y698" s="145"/>
      <c r="Z698" s="145"/>
    </row>
    <row r="699" spans="1:26" ht="15.75" x14ac:dyDescent="0.25">
      <c r="A699" s="145"/>
      <c r="B699" s="145"/>
      <c r="C699" s="145"/>
      <c r="D699" s="145"/>
      <c r="E699" s="145"/>
      <c r="F699" s="145"/>
      <c r="G699" s="145"/>
      <c r="H699" s="145"/>
      <c r="I699" s="145"/>
      <c r="J699" s="145"/>
      <c r="K699" s="145"/>
      <c r="L699" s="145"/>
      <c r="M699" s="145"/>
      <c r="N699" s="145"/>
      <c r="O699" s="145"/>
      <c r="P699" s="145"/>
      <c r="Q699" s="145"/>
      <c r="R699" s="145"/>
      <c r="S699" s="145"/>
      <c r="T699" s="145"/>
      <c r="U699" s="145"/>
      <c r="V699" s="145"/>
      <c r="W699" s="145"/>
      <c r="X699" s="145"/>
      <c r="Y699" s="145"/>
      <c r="Z699" s="145"/>
    </row>
    <row r="700" spans="1:26" ht="15.75" x14ac:dyDescent="0.25">
      <c r="A700" s="145"/>
      <c r="B700" s="145"/>
      <c r="C700" s="145"/>
      <c r="D700" s="145"/>
      <c r="E700" s="145"/>
      <c r="F700" s="145"/>
      <c r="G700" s="145"/>
      <c r="H700" s="145"/>
      <c r="I700" s="145"/>
      <c r="J700" s="145"/>
      <c r="K700" s="145"/>
      <c r="L700" s="145"/>
      <c r="M700" s="145"/>
      <c r="N700" s="145"/>
      <c r="O700" s="145"/>
      <c r="P700" s="145"/>
      <c r="Q700" s="145"/>
      <c r="R700" s="145"/>
      <c r="S700" s="145"/>
      <c r="T700" s="145"/>
      <c r="U700" s="145"/>
      <c r="V700" s="145"/>
      <c r="W700" s="145"/>
      <c r="X700" s="145"/>
      <c r="Y700" s="145"/>
      <c r="Z700" s="145"/>
    </row>
    <row r="701" spans="1:26" ht="15.75" x14ac:dyDescent="0.25">
      <c r="A701" s="145"/>
      <c r="B701" s="145"/>
      <c r="C701" s="145"/>
      <c r="D701" s="145"/>
      <c r="E701" s="145"/>
      <c r="F701" s="145"/>
      <c r="G701" s="145"/>
      <c r="H701" s="145"/>
      <c r="I701" s="145"/>
      <c r="J701" s="145"/>
      <c r="K701" s="145"/>
      <c r="L701" s="145"/>
      <c r="M701" s="145"/>
      <c r="N701" s="145"/>
      <c r="O701" s="145"/>
      <c r="P701" s="145"/>
      <c r="Q701" s="145"/>
      <c r="R701" s="145"/>
      <c r="S701" s="145"/>
      <c r="T701" s="145"/>
      <c r="U701" s="145"/>
      <c r="V701" s="145"/>
      <c r="W701" s="145"/>
      <c r="X701" s="145"/>
      <c r="Y701" s="145"/>
      <c r="Z701" s="145"/>
    </row>
    <row r="702" spans="1:26" ht="15.75" x14ac:dyDescent="0.25">
      <c r="A702" s="145"/>
      <c r="B702" s="145"/>
      <c r="C702" s="145"/>
      <c r="D702" s="145"/>
      <c r="E702" s="145"/>
      <c r="F702" s="145"/>
      <c r="G702" s="145"/>
      <c r="H702" s="145"/>
      <c r="I702" s="145"/>
      <c r="J702" s="145"/>
      <c r="K702" s="145"/>
      <c r="L702" s="145"/>
      <c r="M702" s="145"/>
      <c r="N702" s="145"/>
      <c r="O702" s="145"/>
      <c r="P702" s="145"/>
      <c r="Q702" s="145"/>
      <c r="R702" s="145"/>
      <c r="S702" s="145"/>
      <c r="T702" s="145"/>
      <c r="U702" s="145"/>
      <c r="V702" s="145"/>
      <c r="W702" s="145"/>
      <c r="X702" s="145"/>
      <c r="Y702" s="145"/>
      <c r="Z702" s="145"/>
    </row>
    <row r="703" spans="1:26" ht="15.75" x14ac:dyDescent="0.25">
      <c r="A703" s="145"/>
      <c r="B703" s="145"/>
      <c r="C703" s="145"/>
      <c r="D703" s="145"/>
      <c r="E703" s="145"/>
      <c r="F703" s="145"/>
      <c r="G703" s="145"/>
      <c r="H703" s="145"/>
      <c r="I703" s="145"/>
      <c r="J703" s="145"/>
      <c r="K703" s="145"/>
      <c r="L703" s="145"/>
      <c r="M703" s="145"/>
      <c r="N703" s="145"/>
      <c r="O703" s="145"/>
      <c r="P703" s="145"/>
      <c r="Q703" s="145"/>
      <c r="R703" s="145"/>
      <c r="S703" s="145"/>
      <c r="T703" s="145"/>
      <c r="U703" s="145"/>
      <c r="V703" s="145"/>
      <c r="W703" s="145"/>
      <c r="X703" s="145"/>
      <c r="Y703" s="145"/>
      <c r="Z703" s="145"/>
    </row>
    <row r="704" spans="1:26" ht="15.75" x14ac:dyDescent="0.25">
      <c r="A704" s="145"/>
      <c r="B704" s="145"/>
      <c r="C704" s="145"/>
      <c r="D704" s="145"/>
      <c r="E704" s="145"/>
      <c r="F704" s="145"/>
      <c r="G704" s="145"/>
      <c r="H704" s="145"/>
      <c r="I704" s="145"/>
      <c r="J704" s="145"/>
      <c r="K704" s="145"/>
      <c r="L704" s="145"/>
      <c r="M704" s="145"/>
      <c r="N704" s="145"/>
      <c r="O704" s="145"/>
      <c r="P704" s="145"/>
      <c r="Q704" s="145"/>
      <c r="R704" s="145"/>
      <c r="S704" s="145"/>
      <c r="T704" s="145"/>
      <c r="U704" s="145"/>
      <c r="V704" s="145"/>
      <c r="W704" s="145"/>
      <c r="X704" s="145"/>
      <c r="Y704" s="145"/>
      <c r="Z704" s="145"/>
    </row>
    <row r="705" spans="1:26" ht="15.75" x14ac:dyDescent="0.25">
      <c r="A705" s="145"/>
      <c r="B705" s="145"/>
      <c r="C705" s="145"/>
      <c r="D705" s="145"/>
      <c r="E705" s="145"/>
      <c r="F705" s="145"/>
      <c r="G705" s="145"/>
      <c r="H705" s="145"/>
      <c r="I705" s="145"/>
      <c r="J705" s="145"/>
      <c r="K705" s="145"/>
      <c r="L705" s="145"/>
      <c r="M705" s="145"/>
      <c r="N705" s="145"/>
      <c r="O705" s="145"/>
      <c r="P705" s="145"/>
      <c r="Q705" s="145"/>
      <c r="R705" s="145"/>
      <c r="S705" s="145"/>
      <c r="T705" s="145"/>
      <c r="U705" s="145"/>
      <c r="V705" s="145"/>
      <c r="W705" s="145"/>
      <c r="X705" s="145"/>
      <c r="Y705" s="145"/>
      <c r="Z705" s="145"/>
    </row>
    <row r="706" spans="1:26" ht="15.75" x14ac:dyDescent="0.25">
      <c r="A706" s="145"/>
      <c r="B706" s="145"/>
      <c r="C706" s="145"/>
      <c r="D706" s="145"/>
      <c r="E706" s="145"/>
      <c r="F706" s="145"/>
      <c r="G706" s="145"/>
      <c r="H706" s="145"/>
      <c r="I706" s="145"/>
      <c r="J706" s="145"/>
      <c r="K706" s="145"/>
      <c r="L706" s="145"/>
      <c r="M706" s="145"/>
      <c r="N706" s="145"/>
      <c r="O706" s="145"/>
      <c r="P706" s="145"/>
      <c r="Q706" s="145"/>
      <c r="R706" s="145"/>
      <c r="S706" s="145"/>
      <c r="T706" s="145"/>
      <c r="U706" s="145"/>
      <c r="V706" s="145"/>
      <c r="W706" s="145"/>
      <c r="X706" s="145"/>
      <c r="Y706" s="145"/>
      <c r="Z706" s="145"/>
    </row>
    <row r="707" spans="1:26" ht="15.75" x14ac:dyDescent="0.25">
      <c r="A707" s="145"/>
      <c r="B707" s="145"/>
      <c r="C707" s="145"/>
      <c r="D707" s="145"/>
      <c r="E707" s="145"/>
      <c r="F707" s="145"/>
      <c r="G707" s="145"/>
      <c r="H707" s="145"/>
      <c r="I707" s="145"/>
      <c r="J707" s="145"/>
      <c r="K707" s="145"/>
      <c r="L707" s="145"/>
      <c r="M707" s="145"/>
      <c r="N707" s="145"/>
      <c r="O707" s="145"/>
      <c r="P707" s="145"/>
      <c r="Q707" s="145"/>
      <c r="R707" s="145"/>
      <c r="S707" s="145"/>
      <c r="T707" s="145"/>
      <c r="U707" s="145"/>
      <c r="V707" s="145"/>
      <c r="W707" s="145"/>
      <c r="X707" s="145"/>
      <c r="Y707" s="145"/>
      <c r="Z707" s="145"/>
    </row>
    <row r="708" spans="1:26" ht="15.75" x14ac:dyDescent="0.25">
      <c r="A708" s="145"/>
      <c r="B708" s="145"/>
      <c r="C708" s="145"/>
      <c r="D708" s="145"/>
      <c r="E708" s="145"/>
      <c r="F708" s="145"/>
      <c r="G708" s="145"/>
      <c r="H708" s="145"/>
      <c r="I708" s="145"/>
      <c r="J708" s="145"/>
      <c r="K708" s="145"/>
      <c r="L708" s="145"/>
      <c r="M708" s="145"/>
      <c r="N708" s="145"/>
      <c r="O708" s="145"/>
      <c r="P708" s="145"/>
      <c r="Q708" s="145"/>
      <c r="R708" s="145"/>
      <c r="S708" s="145"/>
      <c r="T708" s="145"/>
      <c r="U708" s="145"/>
      <c r="V708" s="145"/>
      <c r="W708" s="145"/>
      <c r="X708" s="145"/>
      <c r="Y708" s="145"/>
      <c r="Z708" s="145"/>
    </row>
    <row r="709" spans="1:26" ht="15.75" x14ac:dyDescent="0.25">
      <c r="A709" s="145"/>
      <c r="B709" s="145"/>
      <c r="C709" s="145"/>
      <c r="D709" s="145"/>
      <c r="E709" s="145"/>
      <c r="F709" s="145"/>
      <c r="G709" s="145"/>
      <c r="H709" s="145"/>
      <c r="I709" s="145"/>
      <c r="J709" s="145"/>
      <c r="K709" s="145"/>
      <c r="L709" s="145"/>
      <c r="M709" s="145"/>
      <c r="N709" s="145"/>
      <c r="O709" s="145"/>
      <c r="P709" s="145"/>
      <c r="Q709" s="145"/>
      <c r="R709" s="145"/>
      <c r="S709" s="145"/>
      <c r="T709" s="145"/>
      <c r="U709" s="145"/>
      <c r="V709" s="145"/>
      <c r="W709" s="145"/>
      <c r="X709" s="145"/>
      <c r="Y709" s="145"/>
      <c r="Z709" s="145"/>
    </row>
    <row r="710" spans="1:26" ht="15.75" x14ac:dyDescent="0.25">
      <c r="A710" s="145"/>
      <c r="B710" s="145"/>
      <c r="C710" s="145"/>
      <c r="D710" s="145"/>
      <c r="E710" s="145"/>
      <c r="F710" s="145"/>
      <c r="G710" s="145"/>
      <c r="H710" s="145"/>
      <c r="I710" s="145"/>
      <c r="J710" s="145"/>
      <c r="K710" s="145"/>
      <c r="L710" s="145"/>
      <c r="M710" s="145"/>
      <c r="N710" s="145"/>
      <c r="O710" s="145"/>
      <c r="P710" s="145"/>
      <c r="Q710" s="145"/>
      <c r="R710" s="145"/>
      <c r="S710" s="145"/>
      <c r="T710" s="145"/>
      <c r="U710" s="145"/>
      <c r="V710" s="145"/>
      <c r="W710" s="145"/>
      <c r="X710" s="145"/>
      <c r="Y710" s="145"/>
      <c r="Z710" s="145"/>
    </row>
    <row r="711" spans="1:26" ht="15.75" x14ac:dyDescent="0.25">
      <c r="A711" s="145"/>
      <c r="B711" s="145"/>
      <c r="C711" s="145"/>
      <c r="D711" s="145"/>
      <c r="E711" s="145"/>
      <c r="F711" s="145"/>
      <c r="G711" s="145"/>
      <c r="H711" s="145"/>
      <c r="I711" s="145"/>
      <c r="J711" s="145"/>
      <c r="K711" s="145"/>
      <c r="L711" s="145"/>
      <c r="M711" s="145"/>
      <c r="N711" s="145"/>
      <c r="O711" s="145"/>
      <c r="P711" s="145"/>
      <c r="Q711" s="145"/>
      <c r="R711" s="145"/>
      <c r="S711" s="145"/>
      <c r="T711" s="145"/>
      <c r="U711" s="145"/>
      <c r="V711" s="145"/>
      <c r="W711" s="145"/>
      <c r="X711" s="145"/>
      <c r="Y711" s="145"/>
      <c r="Z711" s="145"/>
    </row>
    <row r="712" spans="1:26" ht="15.75" x14ac:dyDescent="0.25">
      <c r="A712" s="145"/>
      <c r="B712" s="145"/>
      <c r="C712" s="145"/>
      <c r="D712" s="145"/>
      <c r="E712" s="145"/>
      <c r="F712" s="145"/>
      <c r="G712" s="145"/>
      <c r="H712" s="145"/>
      <c r="I712" s="145"/>
      <c r="J712" s="145"/>
      <c r="K712" s="145"/>
      <c r="L712" s="145"/>
      <c r="M712" s="145"/>
      <c r="N712" s="145"/>
      <c r="O712" s="145"/>
      <c r="P712" s="145"/>
      <c r="Q712" s="145"/>
      <c r="R712" s="145"/>
      <c r="S712" s="145"/>
      <c r="T712" s="145"/>
      <c r="U712" s="145"/>
      <c r="V712" s="145"/>
      <c r="W712" s="145"/>
      <c r="X712" s="145"/>
      <c r="Y712" s="145"/>
      <c r="Z712" s="145"/>
    </row>
    <row r="713" spans="1:26" ht="15.75" x14ac:dyDescent="0.25">
      <c r="A713" s="145"/>
      <c r="B713" s="145"/>
      <c r="C713" s="145"/>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row>
    <row r="714" spans="1:26" ht="15.75" x14ac:dyDescent="0.25">
      <c r="A714" s="145"/>
      <c r="B714" s="145"/>
      <c r="C714" s="145"/>
      <c r="D714" s="145"/>
      <c r="E714" s="145"/>
      <c r="F714" s="145"/>
      <c r="G714" s="145"/>
      <c r="H714" s="145"/>
      <c r="I714" s="145"/>
      <c r="J714" s="145"/>
      <c r="K714" s="145"/>
      <c r="L714" s="145"/>
      <c r="M714" s="145"/>
      <c r="N714" s="145"/>
      <c r="O714" s="145"/>
      <c r="P714" s="145"/>
      <c r="Q714" s="145"/>
      <c r="R714" s="145"/>
      <c r="S714" s="145"/>
      <c r="T714" s="145"/>
      <c r="U714" s="145"/>
      <c r="V714" s="145"/>
      <c r="W714" s="145"/>
      <c r="X714" s="145"/>
      <c r="Y714" s="145"/>
      <c r="Z714" s="145"/>
    </row>
    <row r="715" spans="1:26" ht="15.75" x14ac:dyDescent="0.25">
      <c r="A715" s="145"/>
      <c r="B715" s="145"/>
      <c r="C715" s="145"/>
      <c r="D715" s="145"/>
      <c r="E715" s="145"/>
      <c r="F715" s="145"/>
      <c r="G715" s="145"/>
      <c r="H715" s="145"/>
      <c r="I715" s="145"/>
      <c r="J715" s="145"/>
      <c r="K715" s="145"/>
      <c r="L715" s="145"/>
      <c r="M715" s="145"/>
      <c r="N715" s="145"/>
      <c r="O715" s="145"/>
      <c r="P715" s="145"/>
      <c r="Q715" s="145"/>
      <c r="R715" s="145"/>
      <c r="S715" s="145"/>
      <c r="T715" s="145"/>
      <c r="U715" s="145"/>
      <c r="V715" s="145"/>
      <c r="W715" s="145"/>
      <c r="X715" s="145"/>
      <c r="Y715" s="145"/>
      <c r="Z715" s="145"/>
    </row>
    <row r="716" spans="1:26" ht="15.75" x14ac:dyDescent="0.25">
      <c r="A716" s="145"/>
      <c r="B716" s="145"/>
      <c r="C716" s="145"/>
      <c r="D716" s="145"/>
      <c r="E716" s="145"/>
      <c r="F716" s="145"/>
      <c r="G716" s="145"/>
      <c r="H716" s="145"/>
      <c r="I716" s="145"/>
      <c r="J716" s="145"/>
      <c r="K716" s="145"/>
      <c r="L716" s="145"/>
      <c r="M716" s="145"/>
      <c r="N716" s="145"/>
      <c r="O716" s="145"/>
      <c r="P716" s="145"/>
      <c r="Q716" s="145"/>
      <c r="R716" s="145"/>
      <c r="S716" s="145"/>
      <c r="T716" s="145"/>
      <c r="U716" s="145"/>
      <c r="V716" s="145"/>
      <c r="W716" s="145"/>
      <c r="X716" s="145"/>
      <c r="Y716" s="145"/>
      <c r="Z716" s="145"/>
    </row>
    <row r="717" spans="1:26" ht="15.75" x14ac:dyDescent="0.25">
      <c r="A717" s="145"/>
      <c r="B717" s="145"/>
      <c r="C717" s="145"/>
      <c r="D717" s="145"/>
      <c r="E717" s="145"/>
      <c r="F717" s="145"/>
      <c r="G717" s="145"/>
      <c r="H717" s="145"/>
      <c r="I717" s="145"/>
      <c r="J717" s="145"/>
      <c r="K717" s="145"/>
      <c r="L717" s="145"/>
      <c r="M717" s="145"/>
      <c r="N717" s="145"/>
      <c r="O717" s="145"/>
      <c r="P717" s="145"/>
      <c r="Q717" s="145"/>
      <c r="R717" s="145"/>
      <c r="S717" s="145"/>
      <c r="T717" s="145"/>
      <c r="U717" s="145"/>
      <c r="V717" s="145"/>
      <c r="W717" s="145"/>
      <c r="X717" s="145"/>
      <c r="Y717" s="145"/>
      <c r="Z717" s="145"/>
    </row>
    <row r="718" spans="1:26" ht="15.75" x14ac:dyDescent="0.25">
      <c r="A718" s="145"/>
      <c r="B718" s="145"/>
      <c r="C718" s="145"/>
      <c r="D718" s="145"/>
      <c r="E718" s="145"/>
      <c r="F718" s="145"/>
      <c r="G718" s="145"/>
      <c r="H718" s="145"/>
      <c r="I718" s="145"/>
      <c r="J718" s="145"/>
      <c r="K718" s="145"/>
      <c r="L718" s="145"/>
      <c r="M718" s="145"/>
      <c r="N718" s="145"/>
      <c r="O718" s="145"/>
      <c r="P718" s="145"/>
      <c r="Q718" s="145"/>
      <c r="R718" s="145"/>
      <c r="S718" s="145"/>
      <c r="T718" s="145"/>
      <c r="U718" s="145"/>
      <c r="V718" s="145"/>
      <c r="W718" s="145"/>
      <c r="X718" s="145"/>
      <c r="Y718" s="145"/>
      <c r="Z718" s="145"/>
    </row>
    <row r="719" spans="1:26" ht="15.75" x14ac:dyDescent="0.25">
      <c r="A719" s="145"/>
      <c r="B719" s="145"/>
      <c r="C719" s="145"/>
      <c r="D719" s="145"/>
      <c r="E719" s="145"/>
      <c r="F719" s="145"/>
      <c r="G719" s="145"/>
      <c r="H719" s="145"/>
      <c r="I719" s="145"/>
      <c r="J719" s="145"/>
      <c r="K719" s="145"/>
      <c r="L719" s="145"/>
      <c r="M719" s="145"/>
      <c r="N719" s="145"/>
      <c r="O719" s="145"/>
      <c r="P719" s="145"/>
      <c r="Q719" s="145"/>
      <c r="R719" s="145"/>
      <c r="S719" s="145"/>
      <c r="T719" s="145"/>
      <c r="U719" s="145"/>
      <c r="V719" s="145"/>
      <c r="W719" s="145"/>
      <c r="X719" s="145"/>
      <c r="Y719" s="145"/>
      <c r="Z719" s="145"/>
    </row>
    <row r="720" spans="1:26" ht="15.75" x14ac:dyDescent="0.25">
      <c r="A720" s="145"/>
      <c r="B720" s="145"/>
      <c r="C720" s="145"/>
      <c r="D720" s="145"/>
      <c r="E720" s="145"/>
      <c r="F720" s="145"/>
      <c r="G720" s="145"/>
      <c r="H720" s="145"/>
      <c r="I720" s="145"/>
      <c r="J720" s="145"/>
      <c r="K720" s="145"/>
      <c r="L720" s="145"/>
      <c r="M720" s="145"/>
      <c r="N720" s="145"/>
      <c r="O720" s="145"/>
      <c r="P720" s="145"/>
      <c r="Q720" s="145"/>
      <c r="R720" s="145"/>
      <c r="S720" s="145"/>
      <c r="T720" s="145"/>
      <c r="U720" s="145"/>
      <c r="V720" s="145"/>
      <c r="W720" s="145"/>
      <c r="X720" s="145"/>
      <c r="Y720" s="145"/>
      <c r="Z720" s="145"/>
    </row>
    <row r="721" spans="1:26" ht="15.75" x14ac:dyDescent="0.25">
      <c r="A721" s="145"/>
      <c r="B721" s="145"/>
      <c r="C721" s="145"/>
      <c r="D721" s="145"/>
      <c r="E721" s="145"/>
      <c r="F721" s="145"/>
      <c r="G721" s="145"/>
      <c r="H721" s="145"/>
      <c r="I721" s="145"/>
      <c r="J721" s="145"/>
      <c r="K721" s="145"/>
      <c r="L721" s="145"/>
      <c r="M721" s="145"/>
      <c r="N721" s="145"/>
      <c r="O721" s="145"/>
      <c r="P721" s="145"/>
      <c r="Q721" s="145"/>
      <c r="R721" s="145"/>
      <c r="S721" s="145"/>
      <c r="T721" s="145"/>
      <c r="U721" s="145"/>
      <c r="V721" s="145"/>
      <c r="W721" s="145"/>
      <c r="X721" s="145"/>
      <c r="Y721" s="145"/>
      <c r="Z721" s="145"/>
    </row>
    <row r="722" spans="1:26" ht="15.75" x14ac:dyDescent="0.25">
      <c r="A722" s="145"/>
      <c r="B722" s="145"/>
      <c r="C722" s="145"/>
      <c r="D722" s="145"/>
      <c r="E722" s="145"/>
      <c r="F722" s="145"/>
      <c r="G722" s="145"/>
      <c r="H722" s="145"/>
      <c r="I722" s="145"/>
      <c r="J722" s="145"/>
      <c r="K722" s="145"/>
      <c r="L722" s="145"/>
      <c r="M722" s="145"/>
      <c r="N722" s="145"/>
      <c r="O722" s="145"/>
      <c r="P722" s="145"/>
      <c r="Q722" s="145"/>
      <c r="R722" s="145"/>
      <c r="S722" s="145"/>
      <c r="T722" s="145"/>
      <c r="U722" s="145"/>
      <c r="V722" s="145"/>
      <c r="W722" s="145"/>
      <c r="X722" s="145"/>
      <c r="Y722" s="145"/>
      <c r="Z722" s="145"/>
    </row>
    <row r="723" spans="1:26" ht="15.75" x14ac:dyDescent="0.25">
      <c r="A723" s="145"/>
      <c r="B723" s="145"/>
      <c r="C723" s="145"/>
      <c r="D723" s="145"/>
      <c r="E723" s="145"/>
      <c r="F723" s="145"/>
      <c r="G723" s="145"/>
      <c r="H723" s="145"/>
      <c r="I723" s="145"/>
      <c r="J723" s="145"/>
      <c r="K723" s="145"/>
      <c r="L723" s="145"/>
      <c r="M723" s="145"/>
      <c r="N723" s="145"/>
      <c r="O723" s="145"/>
      <c r="P723" s="145"/>
      <c r="Q723" s="145"/>
      <c r="R723" s="145"/>
      <c r="S723" s="145"/>
      <c r="T723" s="145"/>
      <c r="U723" s="145"/>
      <c r="V723" s="145"/>
      <c r="W723" s="145"/>
      <c r="X723" s="145"/>
      <c r="Y723" s="145"/>
      <c r="Z723" s="145"/>
    </row>
    <row r="724" spans="1:26" ht="15.75" x14ac:dyDescent="0.25">
      <c r="A724" s="145"/>
      <c r="B724" s="145"/>
      <c r="C724" s="145"/>
      <c r="D724" s="145"/>
      <c r="E724" s="145"/>
      <c r="F724" s="145"/>
      <c r="G724" s="145"/>
      <c r="H724" s="145"/>
      <c r="I724" s="145"/>
      <c r="J724" s="145"/>
      <c r="K724" s="145"/>
      <c r="L724" s="145"/>
      <c r="M724" s="145"/>
      <c r="N724" s="145"/>
      <c r="O724" s="145"/>
      <c r="P724" s="145"/>
      <c r="Q724" s="145"/>
      <c r="R724" s="145"/>
      <c r="S724" s="145"/>
      <c r="T724" s="145"/>
      <c r="U724" s="145"/>
      <c r="V724" s="145"/>
      <c r="W724" s="145"/>
      <c r="X724" s="145"/>
      <c r="Y724" s="145"/>
      <c r="Z724" s="145"/>
    </row>
    <row r="725" spans="1:26" ht="15.75" x14ac:dyDescent="0.25">
      <c r="A725" s="145"/>
      <c r="B725" s="145"/>
      <c r="C725" s="145"/>
      <c r="D725" s="145"/>
      <c r="E725" s="145"/>
      <c r="F725" s="145"/>
      <c r="G725" s="145"/>
      <c r="H725" s="145"/>
      <c r="I725" s="145"/>
      <c r="J725" s="145"/>
      <c r="K725" s="145"/>
      <c r="L725" s="145"/>
      <c r="M725" s="145"/>
      <c r="N725" s="145"/>
      <c r="O725" s="145"/>
      <c r="P725" s="145"/>
      <c r="Q725" s="145"/>
      <c r="R725" s="145"/>
      <c r="S725" s="145"/>
      <c r="T725" s="145"/>
      <c r="U725" s="145"/>
      <c r="V725" s="145"/>
      <c r="W725" s="145"/>
      <c r="X725" s="145"/>
      <c r="Y725" s="145"/>
      <c r="Z725" s="145"/>
    </row>
    <row r="726" spans="1:26" ht="15.75" x14ac:dyDescent="0.25">
      <c r="A726" s="145"/>
      <c r="B726" s="145"/>
      <c r="C726" s="145"/>
      <c r="D726" s="145"/>
      <c r="E726" s="145"/>
      <c r="F726" s="145"/>
      <c r="G726" s="145"/>
      <c r="H726" s="145"/>
      <c r="I726" s="145"/>
      <c r="J726" s="145"/>
      <c r="K726" s="145"/>
      <c r="L726" s="145"/>
      <c r="M726" s="145"/>
      <c r="N726" s="145"/>
      <c r="O726" s="145"/>
      <c r="P726" s="145"/>
      <c r="Q726" s="145"/>
      <c r="R726" s="145"/>
      <c r="S726" s="145"/>
      <c r="T726" s="145"/>
      <c r="U726" s="145"/>
      <c r="V726" s="145"/>
      <c r="W726" s="145"/>
      <c r="X726" s="145"/>
      <c r="Y726" s="145"/>
      <c r="Z726" s="145"/>
    </row>
    <row r="727" spans="1:26" ht="15.75" x14ac:dyDescent="0.25">
      <c r="A727" s="145"/>
      <c r="B727" s="145"/>
      <c r="C727" s="145"/>
      <c r="D727" s="145"/>
      <c r="E727" s="145"/>
      <c r="F727" s="145"/>
      <c r="G727" s="145"/>
      <c r="H727" s="145"/>
      <c r="I727" s="145"/>
      <c r="J727" s="145"/>
      <c r="K727" s="145"/>
      <c r="L727" s="145"/>
      <c r="M727" s="145"/>
      <c r="N727" s="145"/>
      <c r="O727" s="145"/>
      <c r="P727" s="145"/>
      <c r="Q727" s="145"/>
      <c r="R727" s="145"/>
      <c r="S727" s="145"/>
      <c r="T727" s="145"/>
      <c r="U727" s="145"/>
      <c r="V727" s="145"/>
      <c r="W727" s="145"/>
      <c r="X727" s="145"/>
      <c r="Y727" s="145"/>
      <c r="Z727" s="145"/>
    </row>
    <row r="728" spans="1:26" ht="15.75" x14ac:dyDescent="0.25">
      <c r="A728" s="145"/>
      <c r="B728" s="145"/>
      <c r="C728" s="145"/>
      <c r="D728" s="145"/>
      <c r="E728" s="145"/>
      <c r="F728" s="145"/>
      <c r="G728" s="145"/>
      <c r="H728" s="145"/>
      <c r="I728" s="145"/>
      <c r="J728" s="145"/>
      <c r="K728" s="145"/>
      <c r="L728" s="145"/>
      <c r="M728" s="145"/>
      <c r="N728" s="145"/>
      <c r="O728" s="145"/>
      <c r="P728" s="145"/>
      <c r="Q728" s="145"/>
      <c r="R728" s="145"/>
      <c r="S728" s="145"/>
      <c r="T728" s="145"/>
      <c r="U728" s="145"/>
      <c r="V728" s="145"/>
      <c r="W728" s="145"/>
      <c r="X728" s="145"/>
      <c r="Y728" s="145"/>
      <c r="Z728" s="145"/>
    </row>
    <row r="729" spans="1:26" ht="15.75" x14ac:dyDescent="0.25">
      <c r="A729" s="145"/>
      <c r="B729" s="145"/>
      <c r="C729" s="145"/>
      <c r="D729" s="145"/>
      <c r="E729" s="145"/>
      <c r="F729" s="145"/>
      <c r="G729" s="145"/>
      <c r="H729" s="145"/>
      <c r="I729" s="145"/>
      <c r="J729" s="145"/>
      <c r="K729" s="145"/>
      <c r="L729" s="145"/>
      <c r="M729" s="145"/>
      <c r="N729" s="145"/>
      <c r="O729" s="145"/>
      <c r="P729" s="145"/>
      <c r="Q729" s="145"/>
      <c r="R729" s="145"/>
      <c r="S729" s="145"/>
      <c r="T729" s="145"/>
      <c r="U729" s="145"/>
      <c r="V729" s="145"/>
      <c r="W729" s="145"/>
      <c r="X729" s="145"/>
      <c r="Y729" s="145"/>
      <c r="Z729" s="145"/>
    </row>
    <row r="730" spans="1:26" ht="15.75" x14ac:dyDescent="0.25">
      <c r="A730" s="145"/>
      <c r="B730" s="145"/>
      <c r="C730" s="145"/>
      <c r="D730" s="145"/>
      <c r="E730" s="145"/>
      <c r="F730" s="145"/>
      <c r="G730" s="145"/>
      <c r="H730" s="145"/>
      <c r="I730" s="145"/>
      <c r="J730" s="145"/>
      <c r="K730" s="145"/>
      <c r="L730" s="145"/>
      <c r="M730" s="145"/>
      <c r="N730" s="145"/>
      <c r="O730" s="145"/>
      <c r="P730" s="145"/>
      <c r="Q730" s="145"/>
      <c r="R730" s="145"/>
      <c r="S730" s="145"/>
      <c r="T730" s="145"/>
      <c r="U730" s="145"/>
      <c r="V730" s="145"/>
      <c r="W730" s="145"/>
      <c r="X730" s="145"/>
      <c r="Y730" s="145"/>
      <c r="Z730" s="145"/>
    </row>
    <row r="731" spans="1:26" ht="15.75" x14ac:dyDescent="0.25">
      <c r="A731" s="145"/>
      <c r="B731" s="145"/>
      <c r="C731" s="145"/>
      <c r="D731" s="145"/>
      <c r="E731" s="145"/>
      <c r="F731" s="145"/>
      <c r="G731" s="145"/>
      <c r="H731" s="145"/>
      <c r="I731" s="145"/>
      <c r="J731" s="145"/>
      <c r="K731" s="145"/>
      <c r="L731" s="145"/>
      <c r="M731" s="145"/>
      <c r="N731" s="145"/>
      <c r="O731" s="145"/>
      <c r="P731" s="145"/>
      <c r="Q731" s="145"/>
      <c r="R731" s="145"/>
      <c r="S731" s="145"/>
      <c r="T731" s="145"/>
      <c r="U731" s="145"/>
      <c r="V731" s="145"/>
      <c r="W731" s="145"/>
      <c r="X731" s="145"/>
      <c r="Y731" s="145"/>
      <c r="Z731" s="145"/>
    </row>
    <row r="732" spans="1:26" ht="15.75" x14ac:dyDescent="0.25">
      <c r="A732" s="145"/>
      <c r="B732" s="145"/>
      <c r="C732" s="145"/>
      <c r="D732" s="145"/>
      <c r="E732" s="145"/>
      <c r="F732" s="145"/>
      <c r="G732" s="145"/>
      <c r="H732" s="145"/>
      <c r="I732" s="145"/>
      <c r="J732" s="145"/>
      <c r="K732" s="145"/>
      <c r="L732" s="145"/>
      <c r="M732" s="145"/>
      <c r="N732" s="145"/>
      <c r="O732" s="145"/>
      <c r="P732" s="145"/>
      <c r="Q732" s="145"/>
      <c r="R732" s="145"/>
      <c r="S732" s="145"/>
      <c r="T732" s="145"/>
      <c r="U732" s="145"/>
      <c r="V732" s="145"/>
      <c r="W732" s="145"/>
      <c r="X732" s="145"/>
      <c r="Y732" s="145"/>
      <c r="Z732" s="145"/>
    </row>
    <row r="733" spans="1:26" ht="15.75" x14ac:dyDescent="0.25">
      <c r="A733" s="145"/>
      <c r="B733" s="145"/>
      <c r="C733" s="145"/>
      <c r="D733" s="145"/>
      <c r="E733" s="145"/>
      <c r="F733" s="145"/>
      <c r="G733" s="145"/>
      <c r="H733" s="145"/>
      <c r="I733" s="145"/>
      <c r="J733" s="145"/>
      <c r="K733" s="145"/>
      <c r="L733" s="145"/>
      <c r="M733" s="145"/>
      <c r="N733" s="145"/>
      <c r="O733" s="145"/>
      <c r="P733" s="145"/>
      <c r="Q733" s="145"/>
      <c r="R733" s="145"/>
      <c r="S733" s="145"/>
      <c r="T733" s="145"/>
      <c r="U733" s="145"/>
      <c r="V733" s="145"/>
      <c r="W733" s="145"/>
      <c r="X733" s="145"/>
      <c r="Y733" s="145"/>
      <c r="Z733" s="145"/>
    </row>
    <row r="734" spans="1:26" ht="15.75" x14ac:dyDescent="0.25">
      <c r="A734" s="145"/>
      <c r="B734" s="145"/>
      <c r="C734" s="145"/>
      <c r="D734" s="145"/>
      <c r="E734" s="145"/>
      <c r="F734" s="145"/>
      <c r="G734" s="145"/>
      <c r="H734" s="145"/>
      <c r="I734" s="145"/>
      <c r="J734" s="145"/>
      <c r="K734" s="145"/>
      <c r="L734" s="145"/>
      <c r="M734" s="145"/>
      <c r="N734" s="145"/>
      <c r="O734" s="145"/>
      <c r="P734" s="145"/>
      <c r="Q734" s="145"/>
      <c r="R734" s="145"/>
      <c r="S734" s="145"/>
      <c r="T734" s="145"/>
      <c r="U734" s="145"/>
      <c r="V734" s="145"/>
      <c r="W734" s="145"/>
      <c r="X734" s="145"/>
      <c r="Y734" s="145"/>
      <c r="Z734" s="145"/>
    </row>
    <row r="735" spans="1:26" ht="15.75" x14ac:dyDescent="0.25">
      <c r="A735" s="145"/>
      <c r="B735" s="145"/>
      <c r="C735" s="145"/>
      <c r="D735" s="145"/>
      <c r="E735" s="145"/>
      <c r="F735" s="145"/>
      <c r="G735" s="145"/>
      <c r="H735" s="145"/>
      <c r="I735" s="145"/>
      <c r="J735" s="145"/>
      <c r="K735" s="145"/>
      <c r="L735" s="145"/>
      <c r="M735" s="145"/>
      <c r="N735" s="145"/>
      <c r="O735" s="145"/>
      <c r="P735" s="145"/>
      <c r="Q735" s="145"/>
      <c r="R735" s="145"/>
      <c r="S735" s="145"/>
      <c r="T735" s="145"/>
      <c r="U735" s="145"/>
      <c r="V735" s="145"/>
      <c r="W735" s="145"/>
      <c r="X735" s="145"/>
      <c r="Y735" s="145"/>
      <c r="Z735" s="145"/>
    </row>
    <row r="736" spans="1:26" ht="15.75" x14ac:dyDescent="0.25">
      <c r="A736" s="145"/>
      <c r="B736" s="145"/>
      <c r="C736" s="145"/>
      <c r="D736" s="145"/>
      <c r="E736" s="145"/>
      <c r="F736" s="145"/>
      <c r="G736" s="145"/>
      <c r="H736" s="145"/>
      <c r="I736" s="145"/>
      <c r="J736" s="145"/>
      <c r="K736" s="145"/>
      <c r="L736" s="145"/>
      <c r="M736" s="145"/>
      <c r="N736" s="145"/>
      <c r="O736" s="145"/>
      <c r="P736" s="145"/>
      <c r="Q736" s="145"/>
      <c r="R736" s="145"/>
      <c r="S736" s="145"/>
      <c r="T736" s="145"/>
      <c r="U736" s="145"/>
      <c r="V736" s="145"/>
      <c r="W736" s="145"/>
      <c r="X736" s="145"/>
      <c r="Y736" s="145"/>
      <c r="Z736" s="145"/>
    </row>
    <row r="737" spans="1:26" ht="15.75" x14ac:dyDescent="0.25">
      <c r="A737" s="145"/>
      <c r="B737" s="145"/>
      <c r="C737" s="145"/>
      <c r="D737" s="145"/>
      <c r="E737" s="145"/>
      <c r="F737" s="145"/>
      <c r="G737" s="145"/>
      <c r="H737" s="145"/>
      <c r="I737" s="145"/>
      <c r="J737" s="145"/>
      <c r="K737" s="145"/>
      <c r="L737" s="145"/>
      <c r="M737" s="145"/>
      <c r="N737" s="145"/>
      <c r="O737" s="145"/>
      <c r="P737" s="145"/>
      <c r="Q737" s="145"/>
      <c r="R737" s="145"/>
      <c r="S737" s="145"/>
      <c r="T737" s="145"/>
      <c r="U737" s="145"/>
      <c r="V737" s="145"/>
      <c r="W737" s="145"/>
      <c r="X737" s="145"/>
      <c r="Y737" s="145"/>
      <c r="Z737" s="145"/>
    </row>
    <row r="738" spans="1:26" ht="15.75" x14ac:dyDescent="0.25">
      <c r="A738" s="145"/>
      <c r="B738" s="145"/>
      <c r="C738" s="145"/>
      <c r="D738" s="145"/>
      <c r="E738" s="145"/>
      <c r="F738" s="145"/>
      <c r="G738" s="145"/>
      <c r="H738" s="145"/>
      <c r="I738" s="145"/>
      <c r="J738" s="145"/>
      <c r="K738" s="145"/>
      <c r="L738" s="145"/>
      <c r="M738" s="145"/>
      <c r="N738" s="145"/>
      <c r="O738" s="145"/>
      <c r="P738" s="145"/>
      <c r="Q738" s="145"/>
      <c r="R738" s="145"/>
      <c r="S738" s="145"/>
      <c r="T738" s="145"/>
      <c r="U738" s="145"/>
      <c r="V738" s="145"/>
      <c r="W738" s="145"/>
      <c r="X738" s="145"/>
      <c r="Y738" s="145"/>
      <c r="Z738" s="145"/>
    </row>
    <row r="739" spans="1:26" ht="15.75" x14ac:dyDescent="0.25">
      <c r="A739" s="145"/>
      <c r="B739" s="145"/>
      <c r="C739" s="145"/>
      <c r="D739" s="145"/>
      <c r="E739" s="145"/>
      <c r="F739" s="145"/>
      <c r="G739" s="145"/>
      <c r="H739" s="145"/>
      <c r="I739" s="145"/>
      <c r="J739" s="145"/>
      <c r="K739" s="145"/>
      <c r="L739" s="145"/>
      <c r="M739" s="145"/>
      <c r="N739" s="145"/>
      <c r="O739" s="145"/>
      <c r="P739" s="145"/>
      <c r="Q739" s="145"/>
      <c r="R739" s="145"/>
      <c r="S739" s="145"/>
      <c r="T739" s="145"/>
      <c r="U739" s="145"/>
      <c r="V739" s="145"/>
      <c r="W739" s="145"/>
      <c r="X739" s="145"/>
      <c r="Y739" s="145"/>
      <c r="Z739" s="145"/>
    </row>
    <row r="740" spans="1:26" ht="15.75" x14ac:dyDescent="0.25">
      <c r="A740" s="145"/>
      <c r="B740" s="145"/>
      <c r="C740" s="145"/>
      <c r="D740" s="145"/>
      <c r="E740" s="145"/>
      <c r="F740" s="145"/>
      <c r="G740" s="145"/>
      <c r="H740" s="145"/>
      <c r="I740" s="145"/>
      <c r="J740" s="145"/>
      <c r="K740" s="145"/>
      <c r="L740" s="145"/>
      <c r="M740" s="145"/>
      <c r="N740" s="145"/>
      <c r="O740" s="145"/>
      <c r="P740" s="145"/>
      <c r="Q740" s="145"/>
      <c r="R740" s="145"/>
      <c r="S740" s="145"/>
      <c r="T740" s="145"/>
      <c r="U740" s="145"/>
      <c r="V740" s="145"/>
      <c r="W740" s="145"/>
      <c r="X740" s="145"/>
      <c r="Y740" s="145"/>
      <c r="Z740" s="145"/>
    </row>
    <row r="741" spans="1:26" ht="15.75" x14ac:dyDescent="0.25">
      <c r="A741" s="145"/>
      <c r="B741" s="145"/>
      <c r="C741" s="145"/>
      <c r="D741" s="145"/>
      <c r="E741" s="145"/>
      <c r="F741" s="145"/>
      <c r="G741" s="145"/>
      <c r="H741" s="145"/>
      <c r="I741" s="145"/>
      <c r="J741" s="145"/>
      <c r="K741" s="145"/>
      <c r="L741" s="145"/>
      <c r="M741" s="145"/>
      <c r="N741" s="145"/>
      <c r="O741" s="145"/>
      <c r="P741" s="145"/>
      <c r="Q741" s="145"/>
      <c r="R741" s="145"/>
      <c r="S741" s="145"/>
      <c r="T741" s="145"/>
      <c r="U741" s="145"/>
      <c r="V741" s="145"/>
      <c r="W741" s="145"/>
      <c r="X741" s="145"/>
      <c r="Y741" s="145"/>
      <c r="Z741" s="145"/>
    </row>
    <row r="742" spans="1:26" ht="15.75" x14ac:dyDescent="0.25">
      <c r="A742" s="145"/>
      <c r="B742" s="145"/>
      <c r="C742" s="145"/>
      <c r="D742" s="145"/>
      <c r="E742" s="145"/>
      <c r="F742" s="145"/>
      <c r="G742" s="145"/>
      <c r="H742" s="145"/>
      <c r="I742" s="145"/>
      <c r="J742" s="145"/>
      <c r="K742" s="145"/>
      <c r="L742" s="145"/>
      <c r="M742" s="145"/>
      <c r="N742" s="145"/>
      <c r="O742" s="145"/>
      <c r="P742" s="145"/>
      <c r="Q742" s="145"/>
      <c r="R742" s="145"/>
      <c r="S742" s="145"/>
      <c r="T742" s="145"/>
      <c r="U742" s="145"/>
      <c r="V742" s="145"/>
      <c r="W742" s="145"/>
      <c r="X742" s="145"/>
      <c r="Y742" s="145"/>
      <c r="Z742" s="145"/>
    </row>
    <row r="743" spans="1:26" ht="15.75" x14ac:dyDescent="0.25">
      <c r="A743" s="145"/>
      <c r="B743" s="145"/>
      <c r="C743" s="145"/>
      <c r="D743" s="145"/>
      <c r="E743" s="145"/>
      <c r="F743" s="145"/>
      <c r="G743" s="145"/>
      <c r="H743" s="145"/>
      <c r="I743" s="145"/>
      <c r="J743" s="145"/>
      <c r="K743" s="145"/>
      <c r="L743" s="145"/>
      <c r="M743" s="145"/>
      <c r="N743" s="145"/>
      <c r="O743" s="145"/>
      <c r="P743" s="145"/>
      <c r="Q743" s="145"/>
      <c r="R743" s="145"/>
      <c r="S743" s="145"/>
      <c r="T743" s="145"/>
      <c r="U743" s="145"/>
      <c r="V743" s="145"/>
      <c r="W743" s="145"/>
      <c r="X743" s="145"/>
      <c r="Y743" s="145"/>
      <c r="Z743" s="145"/>
    </row>
    <row r="744" spans="1:26" ht="15.75" x14ac:dyDescent="0.25">
      <c r="A744" s="145"/>
      <c r="B744" s="145"/>
      <c r="C744" s="145"/>
      <c r="D744" s="145"/>
      <c r="E744" s="145"/>
      <c r="F744" s="145"/>
      <c r="G744" s="145"/>
      <c r="H744" s="145"/>
      <c r="I744" s="145"/>
      <c r="J744" s="145"/>
      <c r="K744" s="145"/>
      <c r="L744" s="145"/>
      <c r="M744" s="145"/>
      <c r="N744" s="145"/>
      <c r="O744" s="145"/>
      <c r="P744" s="145"/>
      <c r="Q744" s="145"/>
      <c r="R744" s="145"/>
      <c r="S744" s="145"/>
      <c r="T744" s="145"/>
      <c r="U744" s="145"/>
      <c r="V744" s="145"/>
      <c r="W744" s="145"/>
      <c r="X744" s="145"/>
      <c r="Y744" s="145"/>
      <c r="Z744" s="145"/>
    </row>
    <row r="745" spans="1:26" ht="15.75" x14ac:dyDescent="0.25">
      <c r="A745" s="145"/>
      <c r="B745" s="145"/>
      <c r="C745" s="145"/>
      <c r="D745" s="145"/>
      <c r="E745" s="145"/>
      <c r="F745" s="145"/>
      <c r="G745" s="145"/>
      <c r="H745" s="145"/>
      <c r="I745" s="145"/>
      <c r="J745" s="145"/>
      <c r="K745" s="145"/>
      <c r="L745" s="145"/>
      <c r="M745" s="145"/>
      <c r="N745" s="145"/>
      <c r="O745" s="145"/>
      <c r="P745" s="145"/>
      <c r="Q745" s="145"/>
      <c r="R745" s="145"/>
      <c r="S745" s="145"/>
      <c r="T745" s="145"/>
      <c r="U745" s="145"/>
      <c r="V745" s="145"/>
      <c r="W745" s="145"/>
      <c r="X745" s="145"/>
      <c r="Y745" s="145"/>
      <c r="Z745" s="145"/>
    </row>
    <row r="746" spans="1:26" ht="15.75" x14ac:dyDescent="0.25">
      <c r="A746" s="145"/>
      <c r="B746" s="145"/>
      <c r="C746" s="145"/>
      <c r="D746" s="145"/>
      <c r="E746" s="145"/>
      <c r="F746" s="145"/>
      <c r="G746" s="145"/>
      <c r="H746" s="145"/>
      <c r="I746" s="145"/>
      <c r="J746" s="145"/>
      <c r="K746" s="145"/>
      <c r="L746" s="145"/>
      <c r="M746" s="145"/>
      <c r="N746" s="145"/>
      <c r="O746" s="145"/>
      <c r="P746" s="145"/>
      <c r="Q746" s="145"/>
      <c r="R746" s="145"/>
      <c r="S746" s="145"/>
      <c r="T746" s="145"/>
      <c r="U746" s="145"/>
      <c r="V746" s="145"/>
      <c r="W746" s="145"/>
      <c r="X746" s="145"/>
      <c r="Y746" s="145"/>
      <c r="Z746" s="145"/>
    </row>
    <row r="747" spans="1:26" ht="15.75" x14ac:dyDescent="0.25">
      <c r="A747" s="145"/>
      <c r="B747" s="145"/>
      <c r="C747" s="145"/>
      <c r="D747" s="145"/>
      <c r="E747" s="145"/>
      <c r="F747" s="145"/>
      <c r="G747" s="145"/>
      <c r="H747" s="145"/>
      <c r="I747" s="145"/>
      <c r="J747" s="145"/>
      <c r="K747" s="145"/>
      <c r="L747" s="145"/>
      <c r="M747" s="145"/>
      <c r="N747" s="145"/>
      <c r="O747" s="145"/>
      <c r="P747" s="145"/>
      <c r="Q747" s="145"/>
      <c r="R747" s="145"/>
      <c r="S747" s="145"/>
      <c r="T747" s="145"/>
      <c r="U747" s="145"/>
      <c r="V747" s="145"/>
      <c r="W747" s="145"/>
      <c r="X747" s="145"/>
      <c r="Y747" s="145"/>
      <c r="Z747" s="145"/>
    </row>
    <row r="748" spans="1:26" ht="15.75" x14ac:dyDescent="0.25">
      <c r="A748" s="145"/>
      <c r="B748" s="145"/>
      <c r="C748" s="145"/>
      <c r="D748" s="145"/>
      <c r="E748" s="145"/>
      <c r="F748" s="145"/>
      <c r="G748" s="145"/>
      <c r="H748" s="145"/>
      <c r="I748" s="145"/>
      <c r="J748" s="145"/>
      <c r="K748" s="145"/>
      <c r="L748" s="145"/>
      <c r="M748" s="145"/>
      <c r="N748" s="145"/>
      <c r="O748" s="145"/>
      <c r="P748" s="145"/>
      <c r="Q748" s="145"/>
      <c r="R748" s="145"/>
      <c r="S748" s="145"/>
      <c r="T748" s="145"/>
      <c r="U748" s="145"/>
      <c r="V748" s="145"/>
      <c r="W748" s="145"/>
      <c r="X748" s="145"/>
      <c r="Y748" s="145"/>
      <c r="Z748" s="145"/>
    </row>
    <row r="749" spans="1:26" ht="15.75" x14ac:dyDescent="0.25">
      <c r="A749" s="145"/>
      <c r="B749" s="145"/>
      <c r="C749" s="145"/>
      <c r="D749" s="145"/>
      <c r="E749" s="145"/>
      <c r="F749" s="145"/>
      <c r="G749" s="145"/>
      <c r="H749" s="145"/>
      <c r="I749" s="145"/>
      <c r="J749" s="145"/>
      <c r="K749" s="145"/>
      <c r="L749" s="145"/>
      <c r="M749" s="145"/>
      <c r="N749" s="145"/>
      <c r="O749" s="145"/>
      <c r="P749" s="145"/>
      <c r="Q749" s="145"/>
      <c r="R749" s="145"/>
      <c r="S749" s="145"/>
      <c r="T749" s="145"/>
      <c r="U749" s="145"/>
      <c r="V749" s="145"/>
      <c r="W749" s="145"/>
      <c r="X749" s="145"/>
      <c r="Y749" s="145"/>
      <c r="Z749" s="145"/>
    </row>
    <row r="750" spans="1:26" ht="15.75" x14ac:dyDescent="0.25">
      <c r="A750" s="145"/>
      <c r="B750" s="145"/>
      <c r="C750" s="145"/>
      <c r="D750" s="145"/>
      <c r="E750" s="145"/>
      <c r="F750" s="145"/>
      <c r="G750" s="145"/>
      <c r="H750" s="145"/>
      <c r="I750" s="145"/>
      <c r="J750" s="145"/>
      <c r="K750" s="145"/>
      <c r="L750" s="145"/>
      <c r="M750" s="145"/>
      <c r="N750" s="145"/>
      <c r="O750" s="145"/>
      <c r="P750" s="145"/>
      <c r="Q750" s="145"/>
      <c r="R750" s="145"/>
      <c r="S750" s="145"/>
      <c r="T750" s="145"/>
      <c r="U750" s="145"/>
      <c r="V750" s="145"/>
      <c r="W750" s="145"/>
      <c r="X750" s="145"/>
      <c r="Y750" s="145"/>
      <c r="Z750" s="145"/>
    </row>
    <row r="751" spans="1:26" ht="15.75" x14ac:dyDescent="0.25">
      <c r="A751" s="145"/>
      <c r="B751" s="145"/>
      <c r="C751" s="145"/>
      <c r="D751" s="145"/>
      <c r="E751" s="145"/>
      <c r="F751" s="145"/>
      <c r="G751" s="145"/>
      <c r="H751" s="145"/>
      <c r="I751" s="145"/>
      <c r="J751" s="145"/>
      <c r="K751" s="145"/>
      <c r="L751" s="145"/>
      <c r="M751" s="145"/>
      <c r="N751" s="145"/>
      <c r="O751" s="145"/>
      <c r="P751" s="145"/>
      <c r="Q751" s="145"/>
      <c r="R751" s="145"/>
      <c r="S751" s="145"/>
      <c r="T751" s="145"/>
      <c r="U751" s="145"/>
      <c r="V751" s="145"/>
      <c r="W751" s="145"/>
      <c r="X751" s="145"/>
      <c r="Y751" s="145"/>
      <c r="Z751" s="145"/>
    </row>
    <row r="752" spans="1:26" ht="15.75" x14ac:dyDescent="0.25">
      <c r="A752" s="145"/>
      <c r="B752" s="145"/>
      <c r="C752" s="145"/>
      <c r="D752" s="145"/>
      <c r="E752" s="145"/>
      <c r="F752" s="145"/>
      <c r="G752" s="145"/>
      <c r="H752" s="145"/>
      <c r="I752" s="145"/>
      <c r="J752" s="145"/>
      <c r="K752" s="145"/>
      <c r="L752" s="145"/>
      <c r="M752" s="145"/>
      <c r="N752" s="145"/>
      <c r="O752" s="145"/>
      <c r="P752" s="145"/>
      <c r="Q752" s="145"/>
      <c r="R752" s="145"/>
      <c r="S752" s="145"/>
      <c r="T752" s="145"/>
      <c r="U752" s="145"/>
      <c r="V752" s="145"/>
      <c r="W752" s="145"/>
      <c r="X752" s="145"/>
      <c r="Y752" s="145"/>
      <c r="Z752" s="145"/>
    </row>
    <row r="753" spans="1:26" ht="15.75" x14ac:dyDescent="0.25">
      <c r="A753" s="145"/>
      <c r="B753" s="145"/>
      <c r="C753" s="145"/>
      <c r="D753" s="145"/>
      <c r="E753" s="145"/>
      <c r="F753" s="145"/>
      <c r="G753" s="145"/>
      <c r="H753" s="145"/>
      <c r="I753" s="145"/>
      <c r="J753" s="145"/>
      <c r="K753" s="145"/>
      <c r="L753" s="145"/>
      <c r="M753" s="145"/>
      <c r="N753" s="145"/>
      <c r="O753" s="145"/>
      <c r="P753" s="145"/>
      <c r="Q753" s="145"/>
      <c r="R753" s="145"/>
      <c r="S753" s="145"/>
      <c r="T753" s="145"/>
      <c r="U753" s="145"/>
      <c r="V753" s="145"/>
      <c r="W753" s="145"/>
      <c r="X753" s="145"/>
      <c r="Y753" s="145"/>
      <c r="Z753" s="145"/>
    </row>
    <row r="754" spans="1:26" ht="15.75" x14ac:dyDescent="0.25">
      <c r="A754" s="145"/>
      <c r="B754" s="145"/>
      <c r="C754" s="145"/>
      <c r="D754" s="145"/>
      <c r="E754" s="145"/>
      <c r="F754" s="145"/>
      <c r="G754" s="145"/>
      <c r="H754" s="145"/>
      <c r="I754" s="145"/>
      <c r="J754" s="145"/>
      <c r="K754" s="145"/>
      <c r="L754" s="145"/>
      <c r="M754" s="145"/>
      <c r="N754" s="145"/>
      <c r="O754" s="145"/>
      <c r="P754" s="145"/>
      <c r="Q754" s="145"/>
      <c r="R754" s="145"/>
      <c r="S754" s="145"/>
      <c r="T754" s="145"/>
      <c r="U754" s="145"/>
      <c r="V754" s="145"/>
      <c r="W754" s="145"/>
      <c r="X754" s="145"/>
      <c r="Y754" s="145"/>
      <c r="Z754" s="145"/>
    </row>
    <row r="755" spans="1:26" ht="15.75" x14ac:dyDescent="0.25">
      <c r="A755" s="145"/>
      <c r="B755" s="145"/>
      <c r="C755" s="145"/>
      <c r="D755" s="145"/>
      <c r="E755" s="145"/>
      <c r="F755" s="145"/>
      <c r="G755" s="145"/>
      <c r="H755" s="145"/>
      <c r="I755" s="145"/>
      <c r="J755" s="145"/>
      <c r="K755" s="145"/>
      <c r="L755" s="145"/>
      <c r="M755" s="145"/>
      <c r="N755" s="145"/>
      <c r="O755" s="145"/>
      <c r="P755" s="145"/>
      <c r="Q755" s="145"/>
      <c r="R755" s="145"/>
      <c r="S755" s="145"/>
      <c r="T755" s="145"/>
      <c r="U755" s="145"/>
      <c r="V755" s="145"/>
      <c r="W755" s="145"/>
      <c r="X755" s="145"/>
      <c r="Y755" s="145"/>
      <c r="Z755" s="145"/>
    </row>
    <row r="756" spans="1:26" ht="15.75" x14ac:dyDescent="0.25">
      <c r="A756" s="145"/>
      <c r="B756" s="145"/>
      <c r="C756" s="145"/>
      <c r="D756" s="145"/>
      <c r="E756" s="145"/>
      <c r="F756" s="145"/>
      <c r="G756" s="145"/>
      <c r="H756" s="145"/>
      <c r="I756" s="145"/>
      <c r="J756" s="145"/>
      <c r="K756" s="145"/>
      <c r="L756" s="145"/>
      <c r="M756" s="145"/>
      <c r="N756" s="145"/>
      <c r="O756" s="145"/>
      <c r="P756" s="145"/>
      <c r="Q756" s="145"/>
      <c r="R756" s="145"/>
      <c r="S756" s="145"/>
      <c r="T756" s="145"/>
      <c r="U756" s="145"/>
      <c r="V756" s="145"/>
      <c r="W756" s="145"/>
      <c r="X756" s="145"/>
      <c r="Y756" s="145"/>
      <c r="Z756" s="145"/>
    </row>
    <row r="757" spans="1:26" ht="15.75" x14ac:dyDescent="0.25">
      <c r="A757" s="145"/>
      <c r="B757" s="145"/>
      <c r="C757" s="145"/>
      <c r="D757" s="145"/>
      <c r="E757" s="145"/>
      <c r="F757" s="145"/>
      <c r="G757" s="145"/>
      <c r="H757" s="145"/>
      <c r="I757" s="145"/>
      <c r="J757" s="145"/>
      <c r="K757" s="145"/>
      <c r="L757" s="145"/>
      <c r="M757" s="145"/>
      <c r="N757" s="145"/>
      <c r="O757" s="145"/>
      <c r="P757" s="145"/>
      <c r="Q757" s="145"/>
      <c r="R757" s="145"/>
      <c r="S757" s="145"/>
      <c r="T757" s="145"/>
      <c r="U757" s="145"/>
      <c r="V757" s="145"/>
      <c r="W757" s="145"/>
      <c r="X757" s="145"/>
      <c r="Y757" s="145"/>
      <c r="Z757" s="145"/>
    </row>
    <row r="758" spans="1:26" ht="15.75" x14ac:dyDescent="0.25">
      <c r="A758" s="145"/>
      <c r="B758" s="145"/>
      <c r="C758" s="145"/>
      <c r="D758" s="145"/>
      <c r="E758" s="145"/>
      <c r="F758" s="145"/>
      <c r="G758" s="145"/>
      <c r="H758" s="145"/>
      <c r="I758" s="145"/>
      <c r="J758" s="145"/>
      <c r="K758" s="145"/>
      <c r="L758" s="145"/>
      <c r="M758" s="145"/>
      <c r="N758" s="145"/>
      <c r="O758" s="145"/>
      <c r="P758" s="145"/>
      <c r="Q758" s="145"/>
      <c r="R758" s="145"/>
      <c r="S758" s="145"/>
      <c r="T758" s="145"/>
      <c r="U758" s="145"/>
      <c r="V758" s="145"/>
      <c r="W758" s="145"/>
      <c r="X758" s="145"/>
      <c r="Y758" s="145"/>
      <c r="Z758" s="145"/>
    </row>
    <row r="759" spans="1:26" ht="15.75" x14ac:dyDescent="0.25">
      <c r="A759" s="145"/>
      <c r="B759" s="145"/>
      <c r="C759" s="145"/>
      <c r="D759" s="145"/>
      <c r="E759" s="145"/>
      <c r="F759" s="145"/>
      <c r="G759" s="145"/>
      <c r="H759" s="145"/>
      <c r="I759" s="145"/>
      <c r="J759" s="145"/>
      <c r="K759" s="145"/>
      <c r="L759" s="145"/>
      <c r="M759" s="145"/>
      <c r="N759" s="145"/>
      <c r="O759" s="145"/>
      <c r="P759" s="145"/>
      <c r="Q759" s="145"/>
      <c r="R759" s="145"/>
      <c r="S759" s="145"/>
      <c r="T759" s="145"/>
      <c r="U759" s="145"/>
      <c r="V759" s="145"/>
      <c r="W759" s="145"/>
      <c r="X759" s="145"/>
      <c r="Y759" s="145"/>
      <c r="Z759" s="145"/>
    </row>
    <row r="760" spans="1:26" ht="15.75" x14ac:dyDescent="0.25">
      <c r="A760" s="145"/>
      <c r="B760" s="145"/>
      <c r="C760" s="145"/>
      <c r="D760" s="145"/>
      <c r="E760" s="145"/>
      <c r="F760" s="145"/>
      <c r="G760" s="145"/>
      <c r="H760" s="145"/>
      <c r="I760" s="145"/>
      <c r="J760" s="145"/>
      <c r="K760" s="145"/>
      <c r="L760" s="145"/>
      <c r="M760" s="145"/>
      <c r="N760" s="145"/>
      <c r="O760" s="145"/>
      <c r="P760" s="145"/>
      <c r="Q760" s="145"/>
      <c r="R760" s="145"/>
      <c r="S760" s="145"/>
      <c r="T760" s="145"/>
      <c r="U760" s="145"/>
      <c r="V760" s="145"/>
      <c r="W760" s="145"/>
      <c r="X760" s="145"/>
      <c r="Y760" s="145"/>
      <c r="Z760" s="145"/>
    </row>
    <row r="761" spans="1:26" ht="15.75" x14ac:dyDescent="0.25">
      <c r="A761" s="145"/>
      <c r="B761" s="145"/>
      <c r="C761" s="145"/>
      <c r="D761" s="145"/>
      <c r="E761" s="145"/>
      <c r="F761" s="145"/>
      <c r="G761" s="145"/>
      <c r="H761" s="145"/>
      <c r="I761" s="145"/>
      <c r="J761" s="145"/>
      <c r="K761" s="145"/>
      <c r="L761" s="145"/>
      <c r="M761" s="145"/>
      <c r="N761" s="145"/>
      <c r="O761" s="145"/>
      <c r="P761" s="145"/>
      <c r="Q761" s="145"/>
      <c r="R761" s="145"/>
      <c r="S761" s="145"/>
      <c r="T761" s="145"/>
      <c r="U761" s="145"/>
      <c r="V761" s="145"/>
      <c r="W761" s="145"/>
      <c r="X761" s="145"/>
      <c r="Y761" s="145"/>
      <c r="Z761" s="145"/>
    </row>
    <row r="762" spans="1:26" ht="15.75" x14ac:dyDescent="0.25">
      <c r="A762" s="145"/>
      <c r="B762" s="145"/>
      <c r="C762" s="145"/>
      <c r="D762" s="145"/>
      <c r="E762" s="145"/>
      <c r="F762" s="145"/>
      <c r="G762" s="145"/>
      <c r="H762" s="145"/>
      <c r="I762" s="145"/>
      <c r="J762" s="145"/>
      <c r="K762" s="145"/>
      <c r="L762" s="145"/>
      <c r="M762" s="145"/>
      <c r="N762" s="145"/>
      <c r="O762" s="145"/>
      <c r="P762" s="145"/>
      <c r="Q762" s="145"/>
      <c r="R762" s="145"/>
      <c r="S762" s="145"/>
      <c r="T762" s="145"/>
      <c r="U762" s="145"/>
      <c r="V762" s="145"/>
      <c r="W762" s="145"/>
      <c r="X762" s="145"/>
      <c r="Y762" s="145"/>
      <c r="Z762" s="145"/>
    </row>
    <row r="763" spans="1:26" ht="15.75" x14ac:dyDescent="0.25">
      <c r="A763" s="145"/>
      <c r="B763" s="145"/>
      <c r="C763" s="145"/>
      <c r="D763" s="145"/>
      <c r="E763" s="145"/>
      <c r="F763" s="145"/>
      <c r="G763" s="145"/>
      <c r="H763" s="145"/>
      <c r="I763" s="145"/>
      <c r="J763" s="145"/>
      <c r="K763" s="145"/>
      <c r="L763" s="145"/>
      <c r="M763" s="145"/>
      <c r="N763" s="145"/>
      <c r="O763" s="145"/>
      <c r="P763" s="145"/>
      <c r="Q763" s="145"/>
      <c r="R763" s="145"/>
      <c r="S763" s="145"/>
      <c r="T763" s="145"/>
      <c r="U763" s="145"/>
      <c r="V763" s="145"/>
      <c r="W763" s="145"/>
      <c r="X763" s="145"/>
      <c r="Y763" s="145"/>
      <c r="Z763" s="145"/>
    </row>
    <row r="764" spans="1:26" ht="15.75" x14ac:dyDescent="0.25">
      <c r="A764" s="145"/>
      <c r="B764" s="145"/>
      <c r="C764" s="145"/>
      <c r="D764" s="145"/>
      <c r="E764" s="145"/>
      <c r="F764" s="145"/>
      <c r="G764" s="145"/>
      <c r="H764" s="145"/>
      <c r="I764" s="145"/>
      <c r="J764" s="145"/>
      <c r="K764" s="145"/>
      <c r="L764" s="145"/>
      <c r="M764" s="145"/>
      <c r="N764" s="145"/>
      <c r="O764" s="145"/>
      <c r="P764" s="145"/>
      <c r="Q764" s="145"/>
      <c r="R764" s="145"/>
      <c r="S764" s="145"/>
      <c r="T764" s="145"/>
      <c r="U764" s="145"/>
      <c r="V764" s="145"/>
      <c r="W764" s="145"/>
      <c r="X764" s="145"/>
      <c r="Y764" s="145"/>
      <c r="Z764" s="145"/>
    </row>
    <row r="765" spans="1:26" ht="15.75" x14ac:dyDescent="0.25">
      <c r="A765" s="145"/>
      <c r="B765" s="145"/>
      <c r="C765" s="145"/>
      <c r="D765" s="145"/>
      <c r="E765" s="145"/>
      <c r="F765" s="145"/>
      <c r="G765" s="145"/>
      <c r="H765" s="145"/>
      <c r="I765" s="145"/>
      <c r="J765" s="145"/>
      <c r="K765" s="145"/>
      <c r="L765" s="145"/>
      <c r="M765" s="145"/>
      <c r="N765" s="145"/>
      <c r="O765" s="145"/>
      <c r="P765" s="145"/>
      <c r="Q765" s="145"/>
      <c r="R765" s="145"/>
      <c r="S765" s="145"/>
      <c r="T765" s="145"/>
      <c r="U765" s="145"/>
      <c r="V765" s="145"/>
      <c r="W765" s="145"/>
      <c r="X765" s="145"/>
      <c r="Y765" s="145"/>
      <c r="Z765" s="145"/>
    </row>
    <row r="766" spans="1:26" ht="15.75" x14ac:dyDescent="0.25">
      <c r="A766" s="145"/>
      <c r="B766" s="145"/>
      <c r="C766" s="145"/>
      <c r="D766" s="145"/>
      <c r="E766" s="145"/>
      <c r="F766" s="145"/>
      <c r="G766" s="145"/>
      <c r="H766" s="145"/>
      <c r="I766" s="145"/>
      <c r="J766" s="145"/>
      <c r="K766" s="145"/>
      <c r="L766" s="145"/>
      <c r="M766" s="145"/>
      <c r="N766" s="145"/>
      <c r="O766" s="145"/>
      <c r="P766" s="145"/>
      <c r="Q766" s="145"/>
      <c r="R766" s="145"/>
      <c r="S766" s="145"/>
      <c r="T766" s="145"/>
      <c r="U766" s="145"/>
      <c r="V766" s="145"/>
      <c r="W766" s="145"/>
      <c r="X766" s="145"/>
      <c r="Y766" s="145"/>
      <c r="Z766" s="145"/>
    </row>
    <row r="767" spans="1:26" ht="15.75" x14ac:dyDescent="0.25">
      <c r="A767" s="145"/>
      <c r="B767" s="145"/>
      <c r="C767" s="145"/>
      <c r="D767" s="145"/>
      <c r="E767" s="145"/>
      <c r="F767" s="145"/>
      <c r="G767" s="145"/>
      <c r="H767" s="145"/>
      <c r="I767" s="145"/>
      <c r="J767" s="145"/>
      <c r="K767" s="145"/>
      <c r="L767" s="145"/>
      <c r="M767" s="145"/>
      <c r="N767" s="145"/>
      <c r="O767" s="145"/>
      <c r="P767" s="145"/>
      <c r="Q767" s="145"/>
      <c r="R767" s="145"/>
      <c r="S767" s="145"/>
      <c r="T767" s="145"/>
      <c r="U767" s="145"/>
      <c r="V767" s="145"/>
      <c r="W767" s="145"/>
      <c r="X767" s="145"/>
      <c r="Y767" s="145"/>
      <c r="Z767" s="145"/>
    </row>
    <row r="768" spans="1:26" ht="15.75" x14ac:dyDescent="0.25">
      <c r="A768" s="145"/>
      <c r="B768" s="145"/>
      <c r="C768" s="145"/>
      <c r="D768" s="145"/>
      <c r="E768" s="145"/>
      <c r="F768" s="145"/>
      <c r="G768" s="145"/>
      <c r="H768" s="145"/>
      <c r="I768" s="145"/>
      <c r="J768" s="145"/>
      <c r="K768" s="145"/>
      <c r="L768" s="145"/>
      <c r="M768" s="145"/>
      <c r="N768" s="145"/>
      <c r="O768" s="145"/>
      <c r="P768" s="145"/>
      <c r="Q768" s="145"/>
      <c r="R768" s="145"/>
      <c r="S768" s="145"/>
      <c r="T768" s="145"/>
      <c r="U768" s="145"/>
      <c r="V768" s="145"/>
      <c r="W768" s="145"/>
      <c r="X768" s="145"/>
      <c r="Y768" s="145"/>
      <c r="Z768" s="145"/>
    </row>
    <row r="769" spans="1:26" ht="15.75" x14ac:dyDescent="0.25">
      <c r="A769" s="145"/>
      <c r="B769" s="145"/>
      <c r="C769" s="145"/>
      <c r="D769" s="145"/>
      <c r="E769" s="145"/>
      <c r="F769" s="145"/>
      <c r="G769" s="145"/>
      <c r="H769" s="145"/>
      <c r="I769" s="145"/>
      <c r="J769" s="145"/>
      <c r="K769" s="145"/>
      <c r="L769" s="145"/>
      <c r="M769" s="145"/>
      <c r="N769" s="145"/>
      <c r="O769" s="145"/>
      <c r="P769" s="145"/>
      <c r="Q769" s="145"/>
      <c r="R769" s="145"/>
      <c r="S769" s="145"/>
      <c r="T769" s="145"/>
      <c r="U769" s="145"/>
      <c r="V769" s="145"/>
      <c r="W769" s="145"/>
      <c r="X769" s="145"/>
      <c r="Y769" s="145"/>
      <c r="Z769" s="145"/>
    </row>
    <row r="770" spans="1:26" ht="15.75" x14ac:dyDescent="0.25">
      <c r="A770" s="145"/>
      <c r="B770" s="145"/>
      <c r="C770" s="145"/>
      <c r="D770" s="145"/>
      <c r="E770" s="145"/>
      <c r="F770" s="145"/>
      <c r="G770" s="145"/>
      <c r="H770" s="145"/>
      <c r="I770" s="145"/>
      <c r="J770" s="145"/>
      <c r="K770" s="145"/>
      <c r="L770" s="145"/>
      <c r="M770" s="145"/>
      <c r="N770" s="145"/>
      <c r="O770" s="145"/>
      <c r="P770" s="145"/>
      <c r="Q770" s="145"/>
      <c r="R770" s="145"/>
      <c r="S770" s="145"/>
      <c r="T770" s="145"/>
      <c r="U770" s="145"/>
      <c r="V770" s="145"/>
      <c r="W770" s="145"/>
      <c r="X770" s="145"/>
      <c r="Y770" s="145"/>
      <c r="Z770" s="145"/>
    </row>
    <row r="771" spans="1:26" ht="15.75" x14ac:dyDescent="0.25">
      <c r="A771" s="145"/>
      <c r="B771" s="145"/>
      <c r="C771" s="145"/>
      <c r="D771" s="145"/>
      <c r="E771" s="145"/>
      <c r="F771" s="145"/>
      <c r="G771" s="145"/>
      <c r="H771" s="145"/>
      <c r="I771" s="145"/>
      <c r="J771" s="145"/>
      <c r="K771" s="145"/>
      <c r="L771" s="145"/>
      <c r="M771" s="145"/>
      <c r="N771" s="145"/>
      <c r="O771" s="145"/>
      <c r="P771" s="145"/>
      <c r="Q771" s="145"/>
      <c r="R771" s="145"/>
      <c r="S771" s="145"/>
      <c r="T771" s="145"/>
      <c r="U771" s="145"/>
      <c r="V771" s="145"/>
      <c r="W771" s="145"/>
      <c r="X771" s="145"/>
      <c r="Y771" s="145"/>
      <c r="Z771" s="145"/>
    </row>
    <row r="772" spans="1:26" ht="15.75" x14ac:dyDescent="0.25">
      <c r="A772" s="145"/>
      <c r="B772" s="145"/>
      <c r="C772" s="145"/>
      <c r="D772" s="145"/>
      <c r="E772" s="145"/>
      <c r="F772" s="145"/>
      <c r="G772" s="145"/>
      <c r="H772" s="145"/>
      <c r="I772" s="145"/>
      <c r="J772" s="145"/>
      <c r="K772" s="145"/>
      <c r="L772" s="145"/>
      <c r="M772" s="145"/>
      <c r="N772" s="145"/>
      <c r="O772" s="145"/>
      <c r="P772" s="145"/>
      <c r="Q772" s="145"/>
      <c r="R772" s="145"/>
      <c r="S772" s="145"/>
      <c r="T772" s="145"/>
      <c r="U772" s="145"/>
      <c r="V772" s="145"/>
      <c r="W772" s="145"/>
      <c r="X772" s="145"/>
      <c r="Y772" s="145"/>
      <c r="Z772" s="145"/>
    </row>
    <row r="773" spans="1:26" ht="15.75" x14ac:dyDescent="0.25">
      <c r="A773" s="145"/>
      <c r="B773" s="145"/>
      <c r="C773" s="145"/>
      <c r="D773" s="145"/>
      <c r="E773" s="145"/>
      <c r="F773" s="145"/>
      <c r="G773" s="145"/>
      <c r="H773" s="145"/>
      <c r="I773" s="145"/>
      <c r="J773" s="145"/>
      <c r="K773" s="145"/>
      <c r="L773" s="145"/>
      <c r="M773" s="145"/>
      <c r="N773" s="145"/>
      <c r="O773" s="145"/>
      <c r="P773" s="145"/>
      <c r="Q773" s="145"/>
      <c r="R773" s="145"/>
      <c r="S773" s="145"/>
      <c r="T773" s="145"/>
      <c r="U773" s="145"/>
      <c r="V773" s="145"/>
      <c r="W773" s="145"/>
      <c r="X773" s="145"/>
      <c r="Y773" s="145"/>
      <c r="Z773" s="145"/>
    </row>
    <row r="774" spans="1:26" ht="15.75" x14ac:dyDescent="0.25">
      <c r="A774" s="145"/>
      <c r="B774" s="145"/>
      <c r="C774" s="145"/>
      <c r="D774" s="145"/>
      <c r="E774" s="145"/>
      <c r="F774" s="145"/>
      <c r="G774" s="145"/>
      <c r="H774" s="145"/>
      <c r="I774" s="145"/>
      <c r="J774" s="145"/>
      <c r="K774" s="145"/>
      <c r="L774" s="145"/>
      <c r="M774" s="145"/>
      <c r="N774" s="145"/>
      <c r="O774" s="145"/>
      <c r="P774" s="145"/>
      <c r="Q774" s="145"/>
      <c r="R774" s="145"/>
      <c r="S774" s="145"/>
      <c r="T774" s="145"/>
      <c r="U774" s="145"/>
      <c r="V774" s="145"/>
      <c r="W774" s="145"/>
      <c r="X774" s="145"/>
      <c r="Y774" s="145"/>
      <c r="Z774" s="145"/>
    </row>
    <row r="775" spans="1:26" ht="15.75" x14ac:dyDescent="0.25">
      <c r="A775" s="145"/>
      <c r="B775" s="145"/>
      <c r="C775" s="145"/>
      <c r="D775" s="145"/>
      <c r="E775" s="145"/>
      <c r="F775" s="145"/>
      <c r="G775" s="145"/>
      <c r="H775" s="145"/>
      <c r="I775" s="145"/>
      <c r="J775" s="145"/>
      <c r="K775" s="145"/>
      <c r="L775" s="145"/>
      <c r="M775" s="145"/>
      <c r="N775" s="145"/>
      <c r="O775" s="145"/>
      <c r="P775" s="145"/>
      <c r="Q775" s="145"/>
      <c r="R775" s="145"/>
      <c r="S775" s="145"/>
      <c r="T775" s="145"/>
      <c r="U775" s="145"/>
      <c r="V775" s="145"/>
      <c r="W775" s="145"/>
      <c r="X775" s="145"/>
      <c r="Y775" s="145"/>
      <c r="Z775" s="145"/>
    </row>
    <row r="776" spans="1:26" ht="15.75" x14ac:dyDescent="0.25">
      <c r="A776" s="145"/>
      <c r="B776" s="145"/>
      <c r="C776" s="145"/>
      <c r="D776" s="145"/>
      <c r="E776" s="145"/>
      <c r="F776" s="145"/>
      <c r="G776" s="145"/>
      <c r="H776" s="145"/>
      <c r="I776" s="145"/>
      <c r="J776" s="145"/>
      <c r="K776" s="145"/>
      <c r="L776" s="145"/>
      <c r="M776" s="145"/>
      <c r="N776" s="145"/>
      <c r="O776" s="145"/>
      <c r="P776" s="145"/>
      <c r="Q776" s="145"/>
      <c r="R776" s="145"/>
      <c r="S776" s="145"/>
      <c r="T776" s="145"/>
      <c r="U776" s="145"/>
      <c r="V776" s="145"/>
      <c r="W776" s="145"/>
      <c r="X776" s="145"/>
      <c r="Y776" s="145"/>
      <c r="Z776" s="145"/>
    </row>
    <row r="777" spans="1:26" ht="15.75" x14ac:dyDescent="0.25">
      <c r="A777" s="145"/>
      <c r="B777" s="145"/>
      <c r="C777" s="145"/>
      <c r="D777" s="145"/>
      <c r="E777" s="145"/>
      <c r="F777" s="145"/>
      <c r="G777" s="145"/>
      <c r="H777" s="145"/>
      <c r="I777" s="145"/>
      <c r="J777" s="145"/>
      <c r="K777" s="145"/>
      <c r="L777" s="145"/>
      <c r="M777" s="145"/>
      <c r="N777" s="145"/>
      <c r="O777" s="145"/>
      <c r="P777" s="145"/>
      <c r="Q777" s="145"/>
      <c r="R777" s="145"/>
      <c r="S777" s="145"/>
      <c r="T777" s="145"/>
      <c r="U777" s="145"/>
      <c r="V777" s="145"/>
      <c r="W777" s="145"/>
      <c r="X777" s="145"/>
      <c r="Y777" s="145"/>
      <c r="Z777" s="145"/>
    </row>
    <row r="778" spans="1:26" ht="15.75" x14ac:dyDescent="0.25">
      <c r="A778" s="145"/>
      <c r="B778" s="145"/>
      <c r="C778" s="145"/>
      <c r="D778" s="145"/>
      <c r="E778" s="145"/>
      <c r="F778" s="145"/>
      <c r="G778" s="145"/>
      <c r="H778" s="145"/>
      <c r="I778" s="145"/>
      <c r="J778" s="145"/>
      <c r="K778" s="145"/>
      <c r="L778" s="145"/>
      <c r="M778" s="145"/>
      <c r="N778" s="145"/>
      <c r="O778" s="145"/>
      <c r="P778" s="145"/>
      <c r="Q778" s="145"/>
      <c r="R778" s="145"/>
      <c r="S778" s="145"/>
      <c r="T778" s="145"/>
      <c r="U778" s="145"/>
      <c r="V778" s="145"/>
      <c r="W778" s="145"/>
      <c r="X778" s="145"/>
      <c r="Y778" s="145"/>
      <c r="Z778" s="145"/>
    </row>
    <row r="779" spans="1:26" ht="15.75" x14ac:dyDescent="0.25">
      <c r="A779" s="145"/>
      <c r="B779" s="145"/>
      <c r="C779" s="145"/>
      <c r="D779" s="145"/>
      <c r="E779" s="145"/>
      <c r="F779" s="145"/>
      <c r="G779" s="145"/>
      <c r="H779" s="145"/>
      <c r="I779" s="145"/>
      <c r="J779" s="145"/>
      <c r="K779" s="145"/>
      <c r="L779" s="145"/>
      <c r="M779" s="145"/>
      <c r="N779" s="145"/>
      <c r="O779" s="145"/>
      <c r="P779" s="145"/>
      <c r="Q779" s="145"/>
      <c r="R779" s="145"/>
      <c r="S779" s="145"/>
      <c r="T779" s="145"/>
      <c r="U779" s="145"/>
      <c r="V779" s="145"/>
      <c r="W779" s="145"/>
      <c r="X779" s="145"/>
      <c r="Y779" s="145"/>
      <c r="Z779" s="145"/>
    </row>
    <row r="780" spans="1:26" ht="15.75" x14ac:dyDescent="0.25">
      <c r="A780" s="145"/>
      <c r="B780" s="145"/>
      <c r="C780" s="145"/>
      <c r="D780" s="145"/>
      <c r="E780" s="145"/>
      <c r="F780" s="145"/>
      <c r="G780" s="145"/>
      <c r="H780" s="145"/>
      <c r="I780" s="145"/>
      <c r="J780" s="145"/>
      <c r="K780" s="145"/>
      <c r="L780" s="145"/>
      <c r="M780" s="145"/>
      <c r="N780" s="145"/>
      <c r="O780" s="145"/>
      <c r="P780" s="145"/>
      <c r="Q780" s="145"/>
      <c r="R780" s="145"/>
      <c r="S780" s="145"/>
      <c r="T780" s="145"/>
      <c r="U780" s="145"/>
      <c r="V780" s="145"/>
      <c r="W780" s="145"/>
      <c r="X780" s="145"/>
      <c r="Y780" s="145"/>
      <c r="Z780" s="145"/>
    </row>
    <row r="781" spans="1:26" ht="15.75" x14ac:dyDescent="0.25">
      <c r="A781" s="145"/>
      <c r="B781" s="145"/>
      <c r="C781" s="145"/>
      <c r="D781" s="145"/>
      <c r="E781" s="145"/>
      <c r="F781" s="145"/>
      <c r="G781" s="145"/>
      <c r="H781" s="145"/>
      <c r="I781" s="145"/>
      <c r="J781" s="145"/>
      <c r="K781" s="145"/>
      <c r="L781" s="145"/>
      <c r="M781" s="145"/>
      <c r="N781" s="145"/>
      <c r="O781" s="145"/>
      <c r="P781" s="145"/>
      <c r="Q781" s="145"/>
      <c r="R781" s="145"/>
      <c r="S781" s="145"/>
      <c r="T781" s="145"/>
      <c r="U781" s="145"/>
      <c r="V781" s="145"/>
      <c r="W781" s="145"/>
      <c r="X781" s="145"/>
      <c r="Y781" s="145"/>
      <c r="Z781" s="145"/>
    </row>
    <row r="782" spans="1:26" ht="15.75" x14ac:dyDescent="0.25">
      <c r="A782" s="145"/>
      <c r="B782" s="145"/>
      <c r="C782" s="145"/>
      <c r="D782" s="145"/>
      <c r="E782" s="145"/>
      <c r="F782" s="145"/>
      <c r="G782" s="145"/>
      <c r="H782" s="145"/>
      <c r="I782" s="145"/>
      <c r="J782" s="145"/>
      <c r="K782" s="145"/>
      <c r="L782" s="145"/>
      <c r="M782" s="145"/>
      <c r="N782" s="145"/>
      <c r="O782" s="145"/>
      <c r="P782" s="145"/>
      <c r="Q782" s="145"/>
      <c r="R782" s="145"/>
      <c r="S782" s="145"/>
      <c r="T782" s="145"/>
      <c r="U782" s="145"/>
      <c r="V782" s="145"/>
      <c r="W782" s="145"/>
      <c r="X782" s="145"/>
      <c r="Y782" s="145"/>
      <c r="Z782" s="145"/>
    </row>
    <row r="783" spans="1:26" ht="15.75" x14ac:dyDescent="0.25">
      <c r="A783" s="145"/>
      <c r="B783" s="145"/>
      <c r="C783" s="145"/>
      <c r="D783" s="145"/>
      <c r="E783" s="145"/>
      <c r="F783" s="145"/>
      <c r="G783" s="145"/>
      <c r="H783" s="145"/>
      <c r="I783" s="145"/>
      <c r="J783" s="145"/>
      <c r="K783" s="145"/>
      <c r="L783" s="145"/>
      <c r="M783" s="145"/>
      <c r="N783" s="145"/>
      <c r="O783" s="145"/>
      <c r="P783" s="145"/>
      <c r="Q783" s="145"/>
      <c r="R783" s="145"/>
      <c r="S783" s="145"/>
      <c r="T783" s="145"/>
      <c r="U783" s="145"/>
      <c r="V783" s="145"/>
      <c r="W783" s="145"/>
      <c r="X783" s="145"/>
      <c r="Y783" s="145"/>
      <c r="Z783" s="145"/>
    </row>
    <row r="784" spans="1:26" ht="15.75" x14ac:dyDescent="0.25">
      <c r="A784" s="145"/>
      <c r="B784" s="145"/>
      <c r="C784" s="145"/>
      <c r="D784" s="145"/>
      <c r="E784" s="145"/>
      <c r="F784" s="145"/>
      <c r="G784" s="145"/>
      <c r="H784" s="145"/>
      <c r="I784" s="145"/>
      <c r="J784" s="145"/>
      <c r="K784" s="145"/>
      <c r="L784" s="145"/>
      <c r="M784" s="145"/>
      <c r="N784" s="145"/>
      <c r="O784" s="145"/>
      <c r="P784" s="145"/>
      <c r="Q784" s="145"/>
      <c r="R784" s="145"/>
      <c r="S784" s="145"/>
      <c r="T784" s="145"/>
      <c r="U784" s="145"/>
      <c r="V784" s="145"/>
      <c r="W784" s="145"/>
      <c r="X784" s="145"/>
      <c r="Y784" s="145"/>
      <c r="Z784" s="145"/>
    </row>
    <row r="785" spans="1:26" ht="15.75" x14ac:dyDescent="0.25">
      <c r="A785" s="145"/>
      <c r="B785" s="145"/>
      <c r="C785" s="145"/>
      <c r="D785" s="145"/>
      <c r="E785" s="145"/>
      <c r="F785" s="145"/>
      <c r="G785" s="145"/>
      <c r="H785" s="145"/>
      <c r="I785" s="145"/>
      <c r="J785" s="145"/>
      <c r="K785" s="145"/>
      <c r="L785" s="145"/>
      <c r="M785" s="145"/>
      <c r="N785" s="145"/>
      <c r="O785" s="145"/>
      <c r="P785" s="145"/>
      <c r="Q785" s="145"/>
      <c r="R785" s="145"/>
      <c r="S785" s="145"/>
      <c r="T785" s="145"/>
      <c r="U785" s="145"/>
      <c r="V785" s="145"/>
      <c r="W785" s="145"/>
      <c r="X785" s="145"/>
      <c r="Y785" s="145"/>
      <c r="Z785" s="145"/>
    </row>
    <row r="786" spans="1:26" ht="15.75" x14ac:dyDescent="0.25">
      <c r="A786" s="145"/>
      <c r="B786" s="145"/>
      <c r="C786" s="145"/>
      <c r="D786" s="145"/>
      <c r="E786" s="145"/>
      <c r="F786" s="145"/>
      <c r="G786" s="145"/>
      <c r="H786" s="145"/>
      <c r="I786" s="145"/>
      <c r="J786" s="145"/>
      <c r="K786" s="145"/>
      <c r="L786" s="145"/>
      <c r="M786" s="145"/>
      <c r="N786" s="145"/>
      <c r="O786" s="145"/>
      <c r="P786" s="145"/>
      <c r="Q786" s="145"/>
      <c r="R786" s="145"/>
      <c r="S786" s="145"/>
      <c r="T786" s="145"/>
      <c r="U786" s="145"/>
      <c r="V786" s="145"/>
      <c r="W786" s="145"/>
      <c r="X786" s="145"/>
      <c r="Y786" s="145"/>
      <c r="Z786" s="145"/>
    </row>
    <row r="787" spans="1:26" ht="15.75" x14ac:dyDescent="0.25">
      <c r="A787" s="145"/>
      <c r="B787" s="145"/>
      <c r="C787" s="145"/>
      <c r="D787" s="145"/>
      <c r="E787" s="145"/>
      <c r="F787" s="145"/>
      <c r="G787" s="145"/>
      <c r="H787" s="145"/>
      <c r="I787" s="145"/>
      <c r="J787" s="145"/>
      <c r="K787" s="145"/>
      <c r="L787" s="145"/>
      <c r="M787" s="145"/>
      <c r="N787" s="145"/>
      <c r="O787" s="145"/>
      <c r="P787" s="145"/>
      <c r="Q787" s="145"/>
      <c r="R787" s="145"/>
      <c r="S787" s="145"/>
      <c r="T787" s="145"/>
      <c r="U787" s="145"/>
      <c r="V787" s="145"/>
      <c r="W787" s="145"/>
      <c r="X787" s="145"/>
      <c r="Y787" s="145"/>
      <c r="Z787" s="145"/>
    </row>
    <row r="788" spans="1:26" ht="15.75" x14ac:dyDescent="0.25">
      <c r="A788" s="145"/>
      <c r="B788" s="145"/>
      <c r="C788" s="145"/>
      <c r="D788" s="145"/>
      <c r="E788" s="145"/>
      <c r="F788" s="145"/>
      <c r="G788" s="145"/>
      <c r="H788" s="145"/>
      <c r="I788" s="145"/>
      <c r="J788" s="145"/>
      <c r="K788" s="145"/>
      <c r="L788" s="145"/>
      <c r="M788" s="145"/>
      <c r="N788" s="145"/>
      <c r="O788" s="145"/>
      <c r="P788" s="145"/>
      <c r="Q788" s="145"/>
      <c r="R788" s="145"/>
      <c r="S788" s="145"/>
      <c r="T788" s="145"/>
      <c r="U788" s="145"/>
      <c r="V788" s="145"/>
      <c r="W788" s="145"/>
      <c r="X788" s="145"/>
      <c r="Y788" s="145"/>
      <c r="Z788" s="145"/>
    </row>
    <row r="789" spans="1:26" ht="15.75" x14ac:dyDescent="0.25">
      <c r="A789" s="145"/>
      <c r="B789" s="145"/>
      <c r="C789" s="145"/>
      <c r="D789" s="145"/>
      <c r="E789" s="145"/>
      <c r="F789" s="145"/>
      <c r="G789" s="145"/>
      <c r="H789" s="145"/>
      <c r="I789" s="145"/>
      <c r="J789" s="145"/>
      <c r="K789" s="145"/>
      <c r="L789" s="145"/>
      <c r="M789" s="145"/>
      <c r="N789" s="145"/>
      <c r="O789" s="145"/>
      <c r="P789" s="145"/>
      <c r="Q789" s="145"/>
      <c r="R789" s="145"/>
      <c r="S789" s="145"/>
      <c r="T789" s="145"/>
      <c r="U789" s="145"/>
      <c r="V789" s="145"/>
      <c r="W789" s="145"/>
      <c r="X789" s="145"/>
      <c r="Y789" s="145"/>
      <c r="Z789" s="145"/>
    </row>
    <row r="790" spans="1:26" ht="15.75" x14ac:dyDescent="0.25">
      <c r="A790" s="145"/>
      <c r="B790" s="145"/>
      <c r="C790" s="145"/>
      <c r="D790" s="145"/>
      <c r="E790" s="145"/>
      <c r="F790" s="145"/>
      <c r="G790" s="145"/>
      <c r="H790" s="145"/>
      <c r="I790" s="145"/>
      <c r="J790" s="145"/>
      <c r="K790" s="145"/>
      <c r="L790" s="145"/>
      <c r="M790" s="145"/>
      <c r="N790" s="145"/>
      <c r="O790" s="145"/>
      <c r="P790" s="145"/>
      <c r="Q790" s="145"/>
      <c r="R790" s="145"/>
      <c r="S790" s="145"/>
      <c r="T790" s="145"/>
      <c r="U790" s="145"/>
      <c r="V790" s="145"/>
      <c r="W790" s="145"/>
      <c r="X790" s="145"/>
      <c r="Y790" s="145"/>
      <c r="Z790" s="145"/>
    </row>
    <row r="791" spans="1:26" ht="15.75" x14ac:dyDescent="0.25">
      <c r="A791" s="145"/>
      <c r="B791" s="145"/>
      <c r="C791" s="145"/>
      <c r="D791" s="145"/>
      <c r="E791" s="145"/>
      <c r="F791" s="145"/>
      <c r="G791" s="145"/>
      <c r="H791" s="145"/>
      <c r="I791" s="145"/>
      <c r="J791" s="145"/>
      <c r="K791" s="145"/>
      <c r="L791" s="145"/>
      <c r="M791" s="145"/>
      <c r="N791" s="145"/>
      <c r="O791" s="145"/>
      <c r="P791" s="145"/>
      <c r="Q791" s="145"/>
      <c r="R791" s="145"/>
      <c r="S791" s="145"/>
      <c r="T791" s="145"/>
      <c r="U791" s="145"/>
      <c r="V791" s="145"/>
      <c r="W791" s="145"/>
      <c r="X791" s="145"/>
      <c r="Y791" s="145"/>
      <c r="Z791" s="145"/>
    </row>
    <row r="792" spans="1:26" ht="15.75" x14ac:dyDescent="0.25">
      <c r="A792" s="145"/>
      <c r="B792" s="145"/>
      <c r="C792" s="145"/>
      <c r="D792" s="145"/>
      <c r="E792" s="145"/>
      <c r="F792" s="145"/>
      <c r="G792" s="145"/>
      <c r="H792" s="145"/>
      <c r="I792" s="145"/>
      <c r="J792" s="145"/>
      <c r="K792" s="145"/>
      <c r="L792" s="145"/>
      <c r="M792" s="145"/>
      <c r="N792" s="145"/>
      <c r="O792" s="145"/>
      <c r="P792" s="145"/>
      <c r="Q792" s="145"/>
      <c r="R792" s="145"/>
      <c r="S792" s="145"/>
      <c r="T792" s="145"/>
      <c r="U792" s="145"/>
      <c r="V792" s="145"/>
      <c r="W792" s="145"/>
      <c r="X792" s="145"/>
      <c r="Y792" s="145"/>
      <c r="Z792" s="145"/>
    </row>
    <row r="793" spans="1:26" ht="15.75" x14ac:dyDescent="0.25">
      <c r="A793" s="145"/>
      <c r="B793" s="145"/>
      <c r="C793" s="145"/>
      <c r="D793" s="145"/>
      <c r="E793" s="145"/>
      <c r="F793" s="145"/>
      <c r="G793" s="145"/>
      <c r="H793" s="145"/>
      <c r="I793" s="145"/>
      <c r="J793" s="145"/>
      <c r="K793" s="145"/>
      <c r="L793" s="145"/>
      <c r="M793" s="145"/>
      <c r="N793" s="145"/>
      <c r="O793" s="145"/>
      <c r="P793" s="145"/>
      <c r="Q793" s="145"/>
      <c r="R793" s="145"/>
      <c r="S793" s="145"/>
      <c r="T793" s="145"/>
      <c r="U793" s="145"/>
      <c r="V793" s="145"/>
      <c r="W793" s="145"/>
      <c r="X793" s="145"/>
      <c r="Y793" s="145"/>
      <c r="Z793" s="145"/>
    </row>
    <row r="794" spans="1:26" ht="15.75" x14ac:dyDescent="0.25">
      <c r="A794" s="145"/>
      <c r="B794" s="145"/>
      <c r="C794" s="145"/>
      <c r="D794" s="145"/>
      <c r="E794" s="145"/>
      <c r="F794" s="145"/>
      <c r="G794" s="145"/>
      <c r="H794" s="145"/>
      <c r="I794" s="145"/>
      <c r="J794" s="145"/>
      <c r="K794" s="145"/>
      <c r="L794" s="145"/>
      <c r="M794" s="145"/>
      <c r="N794" s="145"/>
      <c r="O794" s="145"/>
      <c r="P794" s="145"/>
      <c r="Q794" s="145"/>
      <c r="R794" s="145"/>
      <c r="S794" s="145"/>
      <c r="T794" s="145"/>
      <c r="U794" s="145"/>
      <c r="V794" s="145"/>
      <c r="W794" s="145"/>
      <c r="X794" s="145"/>
      <c r="Y794" s="145"/>
      <c r="Z794" s="145"/>
    </row>
    <row r="795" spans="1:26" ht="15.75" x14ac:dyDescent="0.25">
      <c r="A795" s="145"/>
      <c r="B795" s="145"/>
      <c r="C795" s="145"/>
      <c r="D795" s="145"/>
      <c r="E795" s="145"/>
      <c r="F795" s="145"/>
      <c r="G795" s="145"/>
      <c r="H795" s="145"/>
      <c r="I795" s="145"/>
      <c r="J795" s="145"/>
      <c r="K795" s="145"/>
      <c r="L795" s="145"/>
      <c r="M795" s="145"/>
      <c r="N795" s="145"/>
      <c r="O795" s="145"/>
      <c r="P795" s="145"/>
      <c r="Q795" s="145"/>
      <c r="R795" s="145"/>
      <c r="S795" s="145"/>
      <c r="T795" s="145"/>
      <c r="U795" s="145"/>
      <c r="V795" s="145"/>
      <c r="W795" s="145"/>
      <c r="X795" s="145"/>
      <c r="Y795" s="145"/>
      <c r="Z795" s="145"/>
    </row>
    <row r="796" spans="1:26" ht="15.75" x14ac:dyDescent="0.25">
      <c r="A796" s="145"/>
      <c r="B796" s="145"/>
      <c r="C796" s="145"/>
      <c r="D796" s="145"/>
      <c r="E796" s="145"/>
      <c r="F796" s="145"/>
      <c r="G796" s="145"/>
      <c r="H796" s="145"/>
      <c r="I796" s="145"/>
      <c r="J796" s="145"/>
      <c r="K796" s="145"/>
      <c r="L796" s="145"/>
      <c r="M796" s="145"/>
      <c r="N796" s="145"/>
      <c r="O796" s="145"/>
      <c r="P796" s="145"/>
      <c r="Q796" s="145"/>
      <c r="R796" s="145"/>
      <c r="S796" s="145"/>
      <c r="T796" s="145"/>
      <c r="U796" s="145"/>
      <c r="V796" s="145"/>
      <c r="W796" s="145"/>
      <c r="X796" s="145"/>
      <c r="Y796" s="145"/>
      <c r="Z796" s="145"/>
    </row>
    <row r="797" spans="1:26" ht="15.75" x14ac:dyDescent="0.25">
      <c r="A797" s="145"/>
      <c r="B797" s="145"/>
      <c r="C797" s="145"/>
      <c r="D797" s="145"/>
      <c r="E797" s="145"/>
      <c r="F797" s="145"/>
      <c r="G797" s="145"/>
      <c r="H797" s="145"/>
      <c r="I797" s="145"/>
      <c r="J797" s="145"/>
      <c r="K797" s="145"/>
      <c r="L797" s="145"/>
      <c r="M797" s="145"/>
      <c r="N797" s="145"/>
      <c r="O797" s="145"/>
      <c r="P797" s="145"/>
      <c r="Q797" s="145"/>
      <c r="R797" s="145"/>
      <c r="S797" s="145"/>
      <c r="T797" s="145"/>
      <c r="U797" s="145"/>
      <c r="V797" s="145"/>
      <c r="W797" s="145"/>
      <c r="X797" s="145"/>
      <c r="Y797" s="145"/>
      <c r="Z797" s="145"/>
    </row>
    <row r="798" spans="1:26" ht="15.75" x14ac:dyDescent="0.25">
      <c r="A798" s="145"/>
      <c r="B798" s="145"/>
      <c r="C798" s="145"/>
      <c r="D798" s="145"/>
      <c r="E798" s="145"/>
      <c r="F798" s="145"/>
      <c r="G798" s="145"/>
      <c r="H798" s="145"/>
      <c r="I798" s="145"/>
      <c r="J798" s="145"/>
      <c r="K798" s="145"/>
      <c r="L798" s="145"/>
      <c r="M798" s="145"/>
      <c r="N798" s="145"/>
      <c r="O798" s="145"/>
      <c r="P798" s="145"/>
      <c r="Q798" s="145"/>
      <c r="R798" s="145"/>
      <c r="S798" s="145"/>
      <c r="T798" s="145"/>
      <c r="U798" s="145"/>
      <c r="V798" s="145"/>
      <c r="W798" s="145"/>
      <c r="X798" s="145"/>
      <c r="Y798" s="145"/>
      <c r="Z798" s="145"/>
    </row>
    <row r="799" spans="1:26" ht="15.75" x14ac:dyDescent="0.25">
      <c r="A799" s="145"/>
      <c r="B799" s="145"/>
      <c r="C799" s="145"/>
      <c r="D799" s="145"/>
      <c r="E799" s="145"/>
      <c r="F799" s="145"/>
      <c r="G799" s="145"/>
      <c r="H799" s="145"/>
      <c r="I799" s="145"/>
      <c r="J799" s="145"/>
      <c r="K799" s="145"/>
      <c r="L799" s="145"/>
      <c r="M799" s="145"/>
      <c r="N799" s="145"/>
      <c r="O799" s="145"/>
      <c r="P799" s="145"/>
      <c r="Q799" s="145"/>
      <c r="R799" s="145"/>
      <c r="S799" s="145"/>
      <c r="T799" s="145"/>
      <c r="U799" s="145"/>
      <c r="V799" s="145"/>
      <c r="W799" s="145"/>
      <c r="X799" s="145"/>
      <c r="Y799" s="145"/>
      <c r="Z799" s="145"/>
    </row>
    <row r="800" spans="1:26" ht="15.75" x14ac:dyDescent="0.25">
      <c r="A800" s="145"/>
      <c r="B800" s="145"/>
      <c r="C800" s="145"/>
      <c r="D800" s="145"/>
      <c r="E800" s="145"/>
      <c r="F800" s="145"/>
      <c r="G800" s="145"/>
      <c r="H800" s="145"/>
      <c r="I800" s="145"/>
      <c r="J800" s="145"/>
      <c r="K800" s="145"/>
      <c r="L800" s="145"/>
      <c r="M800" s="145"/>
      <c r="N800" s="145"/>
      <c r="O800" s="145"/>
      <c r="P800" s="145"/>
      <c r="Q800" s="145"/>
      <c r="R800" s="145"/>
      <c r="S800" s="145"/>
      <c r="T800" s="145"/>
      <c r="U800" s="145"/>
      <c r="V800" s="145"/>
      <c r="W800" s="145"/>
      <c r="X800" s="145"/>
      <c r="Y800" s="145"/>
      <c r="Z800" s="145"/>
    </row>
    <row r="801" spans="1:26" ht="15.75" x14ac:dyDescent="0.25">
      <c r="A801" s="145"/>
      <c r="B801" s="145"/>
      <c r="C801" s="145"/>
      <c r="D801" s="145"/>
      <c r="E801" s="145"/>
      <c r="F801" s="145"/>
      <c r="G801" s="145"/>
      <c r="H801" s="145"/>
      <c r="I801" s="145"/>
      <c r="J801" s="145"/>
      <c r="K801" s="145"/>
      <c r="L801" s="145"/>
      <c r="M801" s="145"/>
      <c r="N801" s="145"/>
      <c r="O801" s="145"/>
      <c r="P801" s="145"/>
      <c r="Q801" s="145"/>
      <c r="R801" s="145"/>
      <c r="S801" s="145"/>
      <c r="T801" s="145"/>
      <c r="U801" s="145"/>
      <c r="V801" s="145"/>
      <c r="W801" s="145"/>
      <c r="X801" s="145"/>
      <c r="Y801" s="145"/>
      <c r="Z801" s="145"/>
    </row>
    <row r="802" spans="1:26" ht="15.75" x14ac:dyDescent="0.25">
      <c r="A802" s="145"/>
      <c r="B802" s="145"/>
      <c r="C802" s="145"/>
      <c r="D802" s="145"/>
      <c r="E802" s="145"/>
      <c r="F802" s="145"/>
      <c r="G802" s="145"/>
      <c r="H802" s="145"/>
      <c r="I802" s="145"/>
      <c r="J802" s="145"/>
      <c r="K802" s="145"/>
      <c r="L802" s="145"/>
      <c r="M802" s="145"/>
      <c r="N802" s="145"/>
      <c r="O802" s="145"/>
      <c r="P802" s="145"/>
      <c r="Q802" s="145"/>
      <c r="R802" s="145"/>
      <c r="S802" s="145"/>
      <c r="T802" s="145"/>
      <c r="U802" s="145"/>
      <c r="V802" s="145"/>
      <c r="W802" s="145"/>
      <c r="X802" s="145"/>
      <c r="Y802" s="145"/>
      <c r="Z802" s="145"/>
    </row>
    <row r="803" spans="1:26" ht="15.75" x14ac:dyDescent="0.25">
      <c r="A803" s="145"/>
      <c r="B803" s="145"/>
      <c r="C803" s="145"/>
      <c r="D803" s="145"/>
      <c r="E803" s="145"/>
      <c r="F803" s="145"/>
      <c r="G803" s="145"/>
      <c r="H803" s="145"/>
      <c r="I803" s="145"/>
      <c r="J803" s="145"/>
      <c r="K803" s="145"/>
      <c r="L803" s="145"/>
      <c r="M803" s="145"/>
      <c r="N803" s="145"/>
      <c r="O803" s="145"/>
      <c r="P803" s="145"/>
      <c r="Q803" s="145"/>
      <c r="R803" s="145"/>
      <c r="S803" s="145"/>
      <c r="T803" s="145"/>
      <c r="U803" s="145"/>
      <c r="V803" s="145"/>
      <c r="W803" s="145"/>
      <c r="X803" s="145"/>
      <c r="Y803" s="145"/>
      <c r="Z803" s="145"/>
    </row>
    <row r="804" spans="1:26" ht="15.75" x14ac:dyDescent="0.25">
      <c r="A804" s="145"/>
      <c r="B804" s="145"/>
      <c r="C804" s="145"/>
      <c r="D804" s="145"/>
      <c r="E804" s="145"/>
      <c r="F804" s="145"/>
      <c r="G804" s="145"/>
      <c r="H804" s="145"/>
      <c r="I804" s="145"/>
      <c r="J804" s="145"/>
      <c r="K804" s="145"/>
      <c r="L804" s="145"/>
      <c r="M804" s="145"/>
      <c r="N804" s="145"/>
      <c r="O804" s="145"/>
      <c r="P804" s="145"/>
      <c r="Q804" s="145"/>
      <c r="R804" s="145"/>
      <c r="S804" s="145"/>
      <c r="T804" s="145"/>
      <c r="U804" s="145"/>
      <c r="V804" s="145"/>
      <c r="W804" s="145"/>
      <c r="X804" s="145"/>
      <c r="Y804" s="145"/>
      <c r="Z804" s="145"/>
    </row>
    <row r="805" spans="1:26" ht="15.75" x14ac:dyDescent="0.25">
      <c r="A805" s="145"/>
      <c r="B805" s="145"/>
      <c r="C805" s="145"/>
      <c r="D805" s="145"/>
      <c r="E805" s="145"/>
      <c r="F805" s="145"/>
      <c r="G805" s="145"/>
      <c r="H805" s="145"/>
      <c r="I805" s="145"/>
      <c r="J805" s="145"/>
      <c r="K805" s="145"/>
      <c r="L805" s="145"/>
      <c r="M805" s="145"/>
      <c r="N805" s="145"/>
      <c r="O805" s="145"/>
      <c r="P805" s="145"/>
      <c r="Q805" s="145"/>
      <c r="R805" s="145"/>
      <c r="S805" s="145"/>
      <c r="T805" s="145"/>
      <c r="U805" s="145"/>
      <c r="V805" s="145"/>
      <c r="W805" s="145"/>
      <c r="X805" s="145"/>
      <c r="Y805" s="145"/>
      <c r="Z805" s="145"/>
    </row>
    <row r="806" spans="1:26" ht="15.75" x14ac:dyDescent="0.25">
      <c r="A806" s="145"/>
      <c r="B806" s="145"/>
      <c r="C806" s="145"/>
      <c r="D806" s="145"/>
      <c r="E806" s="145"/>
      <c r="F806" s="145"/>
      <c r="G806" s="145"/>
      <c r="H806" s="145"/>
      <c r="I806" s="145"/>
      <c r="J806" s="145"/>
      <c r="K806" s="145"/>
      <c r="L806" s="145"/>
      <c r="M806" s="145"/>
      <c r="N806" s="145"/>
      <c r="O806" s="145"/>
      <c r="P806" s="145"/>
      <c r="Q806" s="145"/>
      <c r="R806" s="145"/>
      <c r="S806" s="145"/>
      <c r="T806" s="145"/>
      <c r="U806" s="145"/>
      <c r="V806" s="145"/>
      <c r="W806" s="145"/>
      <c r="X806" s="145"/>
      <c r="Y806" s="145"/>
      <c r="Z806" s="145"/>
    </row>
    <row r="807" spans="1:26" ht="15.75" x14ac:dyDescent="0.25">
      <c r="A807" s="145"/>
      <c r="B807" s="145"/>
      <c r="C807" s="145"/>
      <c r="D807" s="145"/>
      <c r="E807" s="145"/>
      <c r="F807" s="145"/>
      <c r="G807" s="145"/>
      <c r="H807" s="145"/>
      <c r="I807" s="145"/>
      <c r="J807" s="145"/>
      <c r="K807" s="145"/>
      <c r="L807" s="145"/>
      <c r="M807" s="145"/>
      <c r="N807" s="145"/>
      <c r="O807" s="145"/>
      <c r="P807" s="145"/>
      <c r="Q807" s="145"/>
      <c r="R807" s="145"/>
      <c r="S807" s="145"/>
      <c r="T807" s="145"/>
      <c r="U807" s="145"/>
      <c r="V807" s="145"/>
      <c r="W807" s="145"/>
      <c r="X807" s="145"/>
      <c r="Y807" s="145"/>
      <c r="Z807" s="145"/>
    </row>
    <row r="808" spans="1:26" ht="15.75" x14ac:dyDescent="0.25">
      <c r="A808" s="145"/>
      <c r="B808" s="145"/>
      <c r="C808" s="145"/>
      <c r="D808" s="145"/>
      <c r="E808" s="145"/>
      <c r="F808" s="145"/>
      <c r="G808" s="145"/>
      <c r="H808" s="145"/>
      <c r="I808" s="145"/>
      <c r="J808" s="145"/>
      <c r="K808" s="145"/>
      <c r="L808" s="145"/>
      <c r="M808" s="145"/>
      <c r="N808" s="145"/>
      <c r="O808" s="145"/>
      <c r="P808" s="145"/>
      <c r="Q808" s="145"/>
      <c r="R808" s="145"/>
      <c r="S808" s="145"/>
      <c r="T808" s="145"/>
      <c r="U808" s="145"/>
      <c r="V808" s="145"/>
      <c r="W808" s="145"/>
      <c r="X808" s="145"/>
      <c r="Y808" s="145"/>
      <c r="Z808" s="145"/>
    </row>
    <row r="809" spans="1:26" ht="15.75" x14ac:dyDescent="0.25">
      <c r="A809" s="145"/>
      <c r="B809" s="145"/>
      <c r="C809" s="145"/>
      <c r="D809" s="145"/>
      <c r="E809" s="145"/>
      <c r="F809" s="145"/>
      <c r="G809" s="145"/>
      <c r="H809" s="145"/>
      <c r="I809" s="145"/>
      <c r="J809" s="145"/>
      <c r="K809" s="145"/>
      <c r="L809" s="145"/>
      <c r="M809" s="145"/>
      <c r="N809" s="145"/>
      <c r="O809" s="145"/>
      <c r="P809" s="145"/>
      <c r="Q809" s="145"/>
      <c r="R809" s="145"/>
      <c r="S809" s="145"/>
      <c r="T809" s="145"/>
      <c r="U809" s="145"/>
      <c r="V809" s="145"/>
      <c r="W809" s="145"/>
      <c r="X809" s="145"/>
      <c r="Y809" s="145"/>
      <c r="Z809" s="145"/>
    </row>
    <row r="810" spans="1:26" ht="15.75" x14ac:dyDescent="0.25">
      <c r="A810" s="145"/>
      <c r="B810" s="145"/>
      <c r="C810" s="145"/>
      <c r="D810" s="145"/>
      <c r="E810" s="145"/>
      <c r="F810" s="145"/>
      <c r="G810" s="145"/>
      <c r="H810" s="145"/>
      <c r="I810" s="145"/>
      <c r="J810" s="145"/>
      <c r="K810" s="145"/>
      <c r="L810" s="145"/>
      <c r="M810" s="145"/>
      <c r="N810" s="145"/>
      <c r="O810" s="145"/>
      <c r="P810" s="145"/>
      <c r="Q810" s="145"/>
      <c r="R810" s="145"/>
      <c r="S810" s="145"/>
      <c r="T810" s="145"/>
      <c r="U810" s="145"/>
      <c r="V810" s="145"/>
      <c r="W810" s="145"/>
      <c r="X810" s="145"/>
      <c r="Y810" s="145"/>
      <c r="Z810" s="145"/>
    </row>
    <row r="811" spans="1:26" ht="15.75" x14ac:dyDescent="0.25">
      <c r="A811" s="145"/>
      <c r="B811" s="145"/>
      <c r="C811" s="145"/>
      <c r="D811" s="145"/>
      <c r="E811" s="145"/>
      <c r="F811" s="145"/>
      <c r="G811" s="145"/>
      <c r="H811" s="145"/>
      <c r="I811" s="145"/>
      <c r="J811" s="145"/>
      <c r="K811" s="145"/>
      <c r="L811" s="145"/>
      <c r="M811" s="145"/>
      <c r="N811" s="145"/>
      <c r="O811" s="145"/>
      <c r="P811" s="145"/>
      <c r="Q811" s="145"/>
      <c r="R811" s="145"/>
      <c r="S811" s="145"/>
      <c r="T811" s="145"/>
      <c r="U811" s="145"/>
      <c r="V811" s="145"/>
      <c r="W811" s="145"/>
      <c r="X811" s="145"/>
      <c r="Y811" s="145"/>
      <c r="Z811" s="145"/>
    </row>
    <row r="812" spans="1:26" ht="15.75" x14ac:dyDescent="0.25">
      <c r="A812" s="145"/>
      <c r="B812" s="145"/>
      <c r="C812" s="145"/>
      <c r="D812" s="145"/>
      <c r="E812" s="145"/>
      <c r="F812" s="145"/>
      <c r="G812" s="145"/>
      <c r="H812" s="145"/>
      <c r="I812" s="145"/>
      <c r="J812" s="145"/>
      <c r="K812" s="145"/>
      <c r="L812" s="145"/>
      <c r="M812" s="145"/>
      <c r="N812" s="145"/>
      <c r="O812" s="145"/>
      <c r="P812" s="145"/>
      <c r="Q812" s="145"/>
      <c r="R812" s="145"/>
      <c r="S812" s="145"/>
      <c r="T812" s="145"/>
      <c r="U812" s="145"/>
      <c r="V812" s="145"/>
      <c r="W812" s="145"/>
      <c r="X812" s="145"/>
      <c r="Y812" s="145"/>
      <c r="Z812" s="145"/>
    </row>
    <row r="813" spans="1:26" ht="15.75" x14ac:dyDescent="0.25">
      <c r="A813" s="145"/>
      <c r="B813" s="145"/>
      <c r="C813" s="145"/>
      <c r="D813" s="145"/>
      <c r="E813" s="145"/>
      <c r="F813" s="145"/>
      <c r="G813" s="145"/>
      <c r="H813" s="145"/>
      <c r="I813" s="145"/>
      <c r="J813" s="145"/>
      <c r="K813" s="145"/>
      <c r="L813" s="145"/>
      <c r="M813" s="145"/>
      <c r="N813" s="145"/>
      <c r="O813" s="145"/>
      <c r="P813" s="145"/>
      <c r="Q813" s="145"/>
      <c r="R813" s="145"/>
      <c r="S813" s="145"/>
      <c r="T813" s="145"/>
      <c r="U813" s="145"/>
      <c r="V813" s="145"/>
      <c r="W813" s="145"/>
      <c r="X813" s="145"/>
      <c r="Y813" s="145"/>
      <c r="Z813" s="145"/>
    </row>
    <row r="814" spans="1:26" ht="15.75" x14ac:dyDescent="0.25">
      <c r="A814" s="145"/>
      <c r="B814" s="145"/>
      <c r="C814" s="145"/>
      <c r="D814" s="145"/>
      <c r="E814" s="145"/>
      <c r="F814" s="145"/>
      <c r="G814" s="145"/>
      <c r="H814" s="145"/>
      <c r="I814" s="145"/>
      <c r="J814" s="145"/>
      <c r="K814" s="145"/>
      <c r="L814" s="145"/>
      <c r="M814" s="145"/>
      <c r="N814" s="145"/>
      <c r="O814" s="145"/>
      <c r="P814" s="145"/>
      <c r="Q814" s="145"/>
      <c r="R814" s="145"/>
      <c r="S814" s="145"/>
      <c r="T814" s="145"/>
      <c r="U814" s="145"/>
      <c r="V814" s="145"/>
      <c r="W814" s="145"/>
      <c r="X814" s="145"/>
      <c r="Y814" s="145"/>
      <c r="Z814" s="145"/>
    </row>
    <row r="815" spans="1:26" ht="15.75" x14ac:dyDescent="0.25">
      <c r="A815" s="145"/>
      <c r="B815" s="145"/>
      <c r="C815" s="145"/>
      <c r="D815" s="145"/>
      <c r="E815" s="145"/>
      <c r="F815" s="145"/>
      <c r="G815" s="145"/>
      <c r="H815" s="145"/>
      <c r="I815" s="145"/>
      <c r="J815" s="145"/>
      <c r="K815" s="145"/>
      <c r="L815" s="145"/>
      <c r="M815" s="145"/>
      <c r="N815" s="145"/>
      <c r="O815" s="145"/>
      <c r="P815" s="145"/>
      <c r="Q815" s="145"/>
      <c r="R815" s="145"/>
      <c r="S815" s="145"/>
      <c r="T815" s="145"/>
      <c r="U815" s="145"/>
      <c r="V815" s="145"/>
      <c r="W815" s="145"/>
      <c r="X815" s="145"/>
      <c r="Y815" s="145"/>
      <c r="Z815" s="145"/>
    </row>
    <row r="816" spans="1:26" ht="15.75" x14ac:dyDescent="0.25">
      <c r="A816" s="145"/>
      <c r="B816" s="145"/>
      <c r="C816" s="145"/>
      <c r="D816" s="145"/>
      <c r="E816" s="145"/>
      <c r="F816" s="145"/>
      <c r="G816" s="145"/>
      <c r="H816" s="145"/>
      <c r="I816" s="145"/>
      <c r="J816" s="145"/>
      <c r="K816" s="145"/>
      <c r="L816" s="145"/>
      <c r="M816" s="145"/>
      <c r="N816" s="145"/>
      <c r="O816" s="145"/>
      <c r="P816" s="145"/>
      <c r="Q816" s="145"/>
      <c r="R816" s="145"/>
      <c r="S816" s="145"/>
      <c r="T816" s="145"/>
      <c r="U816" s="145"/>
      <c r="V816" s="145"/>
      <c r="W816" s="145"/>
      <c r="X816" s="145"/>
      <c r="Y816" s="145"/>
      <c r="Z816" s="145"/>
    </row>
    <row r="817" spans="1:26" ht="15.75" x14ac:dyDescent="0.25">
      <c r="A817" s="145"/>
      <c r="B817" s="145"/>
      <c r="C817" s="145"/>
      <c r="D817" s="145"/>
      <c r="E817" s="145"/>
      <c r="F817" s="145"/>
      <c r="G817" s="145"/>
      <c r="H817" s="145"/>
      <c r="I817" s="145"/>
      <c r="J817" s="145"/>
      <c r="K817" s="145"/>
      <c r="L817" s="145"/>
      <c r="M817" s="145"/>
      <c r="N817" s="145"/>
      <c r="O817" s="145"/>
      <c r="P817" s="145"/>
      <c r="Q817" s="145"/>
      <c r="R817" s="145"/>
      <c r="S817" s="145"/>
      <c r="T817" s="145"/>
      <c r="U817" s="145"/>
      <c r="V817" s="145"/>
      <c r="W817" s="145"/>
      <c r="X817" s="145"/>
      <c r="Y817" s="145"/>
      <c r="Z817" s="145"/>
    </row>
    <row r="818" spans="1:26" ht="15.75" x14ac:dyDescent="0.25">
      <c r="A818" s="145"/>
      <c r="B818" s="145"/>
      <c r="C818" s="145"/>
      <c r="D818" s="145"/>
      <c r="E818" s="145"/>
      <c r="F818" s="145"/>
      <c r="G818" s="145"/>
      <c r="H818" s="145"/>
      <c r="I818" s="145"/>
      <c r="J818" s="145"/>
      <c r="K818" s="145"/>
      <c r="L818" s="145"/>
      <c r="M818" s="145"/>
      <c r="N818" s="145"/>
      <c r="O818" s="145"/>
      <c r="P818" s="145"/>
      <c r="Q818" s="145"/>
      <c r="R818" s="145"/>
      <c r="S818" s="145"/>
      <c r="T818" s="145"/>
      <c r="U818" s="145"/>
      <c r="V818" s="145"/>
      <c r="W818" s="145"/>
      <c r="X818" s="145"/>
      <c r="Y818" s="145"/>
      <c r="Z818" s="145"/>
    </row>
    <row r="819" spans="1:26" ht="15.75" x14ac:dyDescent="0.25">
      <c r="A819" s="145"/>
      <c r="B819" s="145"/>
      <c r="C819" s="145"/>
      <c r="D819" s="145"/>
      <c r="E819" s="145"/>
      <c r="F819" s="145"/>
      <c r="G819" s="145"/>
      <c r="H819" s="145"/>
      <c r="I819" s="145"/>
      <c r="J819" s="145"/>
      <c r="K819" s="145"/>
      <c r="L819" s="145"/>
      <c r="M819" s="145"/>
      <c r="N819" s="145"/>
      <c r="O819" s="145"/>
      <c r="P819" s="145"/>
      <c r="Q819" s="145"/>
      <c r="R819" s="145"/>
      <c r="S819" s="145"/>
      <c r="T819" s="145"/>
      <c r="U819" s="145"/>
      <c r="V819" s="145"/>
      <c r="W819" s="145"/>
      <c r="X819" s="145"/>
      <c r="Y819" s="145"/>
      <c r="Z819" s="145"/>
    </row>
    <row r="820" spans="1:26" ht="15.75" x14ac:dyDescent="0.25">
      <c r="A820" s="145"/>
      <c r="B820" s="145"/>
      <c r="C820" s="145"/>
      <c r="D820" s="145"/>
      <c r="E820" s="145"/>
      <c r="F820" s="145"/>
      <c r="G820" s="145"/>
      <c r="H820" s="145"/>
      <c r="I820" s="145"/>
      <c r="J820" s="145"/>
      <c r="K820" s="145"/>
      <c r="L820" s="145"/>
      <c r="M820" s="145"/>
      <c r="N820" s="145"/>
      <c r="O820" s="145"/>
      <c r="P820" s="145"/>
      <c r="Q820" s="145"/>
      <c r="R820" s="145"/>
      <c r="S820" s="145"/>
      <c r="T820" s="145"/>
      <c r="U820" s="145"/>
      <c r="V820" s="145"/>
      <c r="W820" s="145"/>
      <c r="X820" s="145"/>
      <c r="Y820" s="145"/>
      <c r="Z820" s="145"/>
    </row>
    <row r="821" spans="1:26" ht="15.75" x14ac:dyDescent="0.25">
      <c r="A821" s="145"/>
      <c r="B821" s="145"/>
      <c r="C821" s="145"/>
      <c r="D821" s="145"/>
      <c r="E821" s="145"/>
      <c r="F821" s="145"/>
      <c r="G821" s="145"/>
      <c r="H821" s="145"/>
      <c r="I821" s="145"/>
      <c r="J821" s="145"/>
      <c r="K821" s="145"/>
      <c r="L821" s="145"/>
      <c r="M821" s="145"/>
      <c r="N821" s="145"/>
      <c r="O821" s="145"/>
      <c r="P821" s="145"/>
      <c r="Q821" s="145"/>
      <c r="R821" s="145"/>
      <c r="S821" s="145"/>
      <c r="T821" s="145"/>
      <c r="U821" s="145"/>
      <c r="V821" s="145"/>
      <c r="W821" s="145"/>
      <c r="X821" s="145"/>
      <c r="Y821" s="145"/>
      <c r="Z821" s="145"/>
    </row>
    <row r="822" spans="1:26" ht="15.75" x14ac:dyDescent="0.25">
      <c r="A822" s="145"/>
      <c r="B822" s="145"/>
      <c r="C822" s="145"/>
      <c r="D822" s="145"/>
      <c r="E822" s="145"/>
      <c r="F822" s="145"/>
      <c r="G822" s="145"/>
      <c r="H822" s="145"/>
      <c r="I822" s="145"/>
      <c r="J822" s="145"/>
      <c r="K822" s="145"/>
      <c r="L822" s="145"/>
      <c r="M822" s="145"/>
      <c r="N822" s="145"/>
      <c r="O822" s="145"/>
      <c r="P822" s="145"/>
      <c r="Q822" s="145"/>
      <c r="R822" s="145"/>
      <c r="S822" s="145"/>
      <c r="T822" s="145"/>
      <c r="U822" s="145"/>
      <c r="V822" s="145"/>
      <c r="W822" s="145"/>
      <c r="X822" s="145"/>
      <c r="Y822" s="145"/>
      <c r="Z822" s="145"/>
    </row>
    <row r="823" spans="1:26" ht="15.75" x14ac:dyDescent="0.25">
      <c r="A823" s="145"/>
      <c r="B823" s="145"/>
      <c r="C823" s="145"/>
      <c r="D823" s="145"/>
      <c r="E823" s="145"/>
      <c r="F823" s="145"/>
      <c r="G823" s="145"/>
      <c r="H823" s="145"/>
      <c r="I823" s="145"/>
      <c r="J823" s="145"/>
      <c r="K823" s="145"/>
      <c r="L823" s="145"/>
      <c r="M823" s="145"/>
      <c r="N823" s="145"/>
      <c r="O823" s="145"/>
      <c r="P823" s="145"/>
      <c r="Q823" s="145"/>
      <c r="R823" s="145"/>
      <c r="S823" s="145"/>
      <c r="T823" s="145"/>
      <c r="U823" s="145"/>
      <c r="V823" s="145"/>
      <c r="W823" s="145"/>
      <c r="X823" s="145"/>
      <c r="Y823" s="145"/>
      <c r="Z823" s="145"/>
    </row>
    <row r="824" spans="1:26" ht="15.75" x14ac:dyDescent="0.25">
      <c r="A824" s="145"/>
      <c r="B824" s="145"/>
      <c r="C824" s="145"/>
      <c r="D824" s="145"/>
      <c r="E824" s="145"/>
      <c r="F824" s="145"/>
      <c r="G824" s="145"/>
      <c r="H824" s="145"/>
      <c r="I824" s="145"/>
      <c r="J824" s="145"/>
      <c r="K824" s="145"/>
      <c r="L824" s="145"/>
      <c r="M824" s="145"/>
      <c r="N824" s="145"/>
      <c r="O824" s="145"/>
      <c r="P824" s="145"/>
      <c r="Q824" s="145"/>
      <c r="R824" s="145"/>
      <c r="S824" s="145"/>
      <c r="T824" s="145"/>
      <c r="U824" s="145"/>
      <c r="V824" s="145"/>
      <c r="W824" s="145"/>
      <c r="X824" s="145"/>
      <c r="Y824" s="145"/>
      <c r="Z824" s="145"/>
    </row>
    <row r="825" spans="1:26" ht="15.75" x14ac:dyDescent="0.25">
      <c r="A825" s="145"/>
      <c r="B825" s="145"/>
      <c r="C825" s="145"/>
      <c r="D825" s="145"/>
      <c r="E825" s="145"/>
      <c r="F825" s="145"/>
      <c r="G825" s="145"/>
      <c r="H825" s="145"/>
      <c r="I825" s="145"/>
      <c r="J825" s="145"/>
      <c r="K825" s="145"/>
      <c r="L825" s="145"/>
      <c r="M825" s="145"/>
      <c r="N825" s="145"/>
      <c r="O825" s="145"/>
      <c r="P825" s="145"/>
      <c r="Q825" s="145"/>
      <c r="R825" s="145"/>
      <c r="S825" s="145"/>
      <c r="T825" s="145"/>
      <c r="U825" s="145"/>
      <c r="V825" s="145"/>
      <c r="W825" s="145"/>
      <c r="X825" s="145"/>
      <c r="Y825" s="145"/>
      <c r="Z825" s="145"/>
    </row>
    <row r="826" spans="1:26" ht="15.75" x14ac:dyDescent="0.25">
      <c r="A826" s="145"/>
      <c r="B826" s="145"/>
      <c r="C826" s="145"/>
      <c r="D826" s="145"/>
      <c r="E826" s="145"/>
      <c r="F826" s="145"/>
      <c r="G826" s="145"/>
      <c r="H826" s="145"/>
      <c r="I826" s="145"/>
      <c r="J826" s="145"/>
      <c r="K826" s="145"/>
      <c r="L826" s="145"/>
      <c r="M826" s="145"/>
      <c r="N826" s="145"/>
      <c r="O826" s="145"/>
      <c r="P826" s="145"/>
      <c r="Q826" s="145"/>
      <c r="R826" s="145"/>
      <c r="S826" s="145"/>
      <c r="T826" s="145"/>
      <c r="U826" s="145"/>
      <c r="V826" s="145"/>
      <c r="W826" s="145"/>
      <c r="X826" s="145"/>
      <c r="Y826" s="145"/>
      <c r="Z826" s="145"/>
    </row>
    <row r="827" spans="1:26" ht="15.75" x14ac:dyDescent="0.25">
      <c r="A827" s="145"/>
      <c r="B827" s="145"/>
      <c r="C827" s="145"/>
      <c r="D827" s="145"/>
      <c r="E827" s="145"/>
      <c r="F827" s="145"/>
      <c r="G827" s="145"/>
      <c r="H827" s="145"/>
      <c r="I827" s="145"/>
      <c r="J827" s="145"/>
      <c r="K827" s="145"/>
      <c r="L827" s="145"/>
      <c r="M827" s="145"/>
      <c r="N827" s="145"/>
      <c r="O827" s="145"/>
      <c r="P827" s="145"/>
      <c r="Q827" s="145"/>
      <c r="R827" s="145"/>
      <c r="S827" s="145"/>
      <c r="T827" s="145"/>
      <c r="U827" s="145"/>
      <c r="V827" s="145"/>
      <c r="W827" s="145"/>
      <c r="X827" s="145"/>
      <c r="Y827" s="145"/>
      <c r="Z827" s="145"/>
    </row>
    <row r="828" spans="1:26" ht="15.75" x14ac:dyDescent="0.25">
      <c r="A828" s="145"/>
      <c r="B828" s="145"/>
      <c r="C828" s="145"/>
      <c r="D828" s="145"/>
      <c r="E828" s="145"/>
      <c r="F828" s="145"/>
      <c r="G828" s="145"/>
      <c r="H828" s="145"/>
      <c r="I828" s="145"/>
      <c r="J828" s="145"/>
      <c r="K828" s="145"/>
      <c r="L828" s="145"/>
      <c r="M828" s="145"/>
      <c r="N828" s="145"/>
      <c r="O828" s="145"/>
      <c r="P828" s="145"/>
      <c r="Q828" s="145"/>
      <c r="R828" s="145"/>
      <c r="S828" s="145"/>
      <c r="T828" s="145"/>
      <c r="U828" s="145"/>
      <c r="V828" s="145"/>
      <c r="W828" s="145"/>
      <c r="X828" s="145"/>
      <c r="Y828" s="145"/>
      <c r="Z828" s="145"/>
    </row>
    <row r="829" spans="1:26" ht="15.75" x14ac:dyDescent="0.25">
      <c r="A829" s="145"/>
      <c r="B829" s="145"/>
      <c r="C829" s="145"/>
      <c r="D829" s="145"/>
      <c r="E829" s="145"/>
      <c r="F829" s="145"/>
      <c r="G829" s="145"/>
      <c r="H829" s="145"/>
      <c r="I829" s="145"/>
      <c r="J829" s="145"/>
      <c r="K829" s="145"/>
      <c r="L829" s="145"/>
      <c r="M829" s="145"/>
      <c r="N829" s="145"/>
      <c r="O829" s="145"/>
      <c r="P829" s="145"/>
      <c r="Q829" s="145"/>
      <c r="R829" s="145"/>
      <c r="S829" s="145"/>
      <c r="T829" s="145"/>
      <c r="U829" s="145"/>
      <c r="V829" s="145"/>
      <c r="W829" s="145"/>
      <c r="X829" s="145"/>
      <c r="Y829" s="145"/>
      <c r="Z829" s="145"/>
    </row>
    <row r="830" spans="1:26" ht="15.75" x14ac:dyDescent="0.25">
      <c r="A830" s="145"/>
      <c r="B830" s="145"/>
      <c r="C830" s="145"/>
      <c r="D830" s="145"/>
      <c r="E830" s="145"/>
      <c r="F830" s="145"/>
      <c r="G830" s="145"/>
      <c r="H830" s="145"/>
      <c r="I830" s="145"/>
      <c r="J830" s="145"/>
      <c r="K830" s="145"/>
      <c r="L830" s="145"/>
      <c r="M830" s="145"/>
      <c r="N830" s="145"/>
      <c r="O830" s="145"/>
      <c r="P830" s="145"/>
      <c r="Q830" s="145"/>
      <c r="R830" s="145"/>
      <c r="S830" s="145"/>
      <c r="T830" s="145"/>
      <c r="U830" s="145"/>
      <c r="V830" s="145"/>
      <c r="W830" s="145"/>
      <c r="X830" s="145"/>
      <c r="Y830" s="145"/>
      <c r="Z830" s="145"/>
    </row>
    <row r="831" spans="1:26" ht="15.75" x14ac:dyDescent="0.25">
      <c r="A831" s="145"/>
      <c r="B831" s="145"/>
      <c r="C831" s="145"/>
      <c r="D831" s="145"/>
      <c r="E831" s="145"/>
      <c r="F831" s="145"/>
      <c r="G831" s="145"/>
      <c r="H831" s="145"/>
      <c r="I831" s="145"/>
      <c r="J831" s="145"/>
      <c r="K831" s="145"/>
      <c r="L831" s="145"/>
      <c r="M831" s="145"/>
      <c r="N831" s="145"/>
      <c r="O831" s="145"/>
      <c r="P831" s="145"/>
      <c r="Q831" s="145"/>
      <c r="R831" s="145"/>
      <c r="S831" s="145"/>
      <c r="T831" s="145"/>
      <c r="U831" s="145"/>
      <c r="V831" s="145"/>
      <c r="W831" s="145"/>
      <c r="X831" s="145"/>
      <c r="Y831" s="145"/>
      <c r="Z831" s="145"/>
    </row>
    <row r="832" spans="1:26" ht="15.75" x14ac:dyDescent="0.25">
      <c r="A832" s="145"/>
      <c r="B832" s="145"/>
      <c r="C832" s="145"/>
      <c r="D832" s="145"/>
      <c r="E832" s="145"/>
      <c r="F832" s="145"/>
      <c r="G832" s="145"/>
      <c r="H832" s="145"/>
      <c r="I832" s="145"/>
      <c r="J832" s="145"/>
      <c r="K832" s="145"/>
      <c r="L832" s="145"/>
      <c r="M832" s="145"/>
      <c r="N832" s="145"/>
      <c r="O832" s="145"/>
      <c r="P832" s="145"/>
      <c r="Q832" s="145"/>
      <c r="R832" s="145"/>
      <c r="S832" s="145"/>
      <c r="T832" s="145"/>
      <c r="U832" s="145"/>
      <c r="V832" s="145"/>
      <c r="W832" s="145"/>
      <c r="X832" s="145"/>
      <c r="Y832" s="145"/>
      <c r="Z832" s="145"/>
    </row>
    <row r="833" spans="1:26" ht="15.75" x14ac:dyDescent="0.25">
      <c r="A833" s="145"/>
      <c r="B833" s="145"/>
      <c r="C833" s="145"/>
      <c r="D833" s="145"/>
      <c r="E833" s="145"/>
      <c r="F833" s="145"/>
      <c r="G833" s="145"/>
      <c r="H833" s="145"/>
      <c r="I833" s="145"/>
      <c r="J833" s="145"/>
      <c r="K833" s="145"/>
      <c r="L833" s="145"/>
      <c r="M833" s="145"/>
      <c r="N833" s="145"/>
      <c r="O833" s="145"/>
      <c r="P833" s="145"/>
      <c r="Q833" s="145"/>
      <c r="R833" s="145"/>
      <c r="S833" s="145"/>
      <c r="T833" s="145"/>
      <c r="U833" s="145"/>
      <c r="V833" s="145"/>
      <c r="W833" s="145"/>
      <c r="X833" s="145"/>
      <c r="Y833" s="145"/>
      <c r="Z833" s="145"/>
    </row>
    <row r="834" spans="1:26" ht="15.75" x14ac:dyDescent="0.25">
      <c r="A834" s="145"/>
      <c r="B834" s="145"/>
      <c r="C834" s="145"/>
      <c r="D834" s="145"/>
      <c r="E834" s="145"/>
      <c r="F834" s="145"/>
      <c r="G834" s="145"/>
      <c r="H834" s="145"/>
      <c r="I834" s="145"/>
      <c r="J834" s="145"/>
      <c r="K834" s="145"/>
      <c r="L834" s="145"/>
      <c r="M834" s="145"/>
      <c r="N834" s="145"/>
      <c r="O834" s="145"/>
      <c r="P834" s="145"/>
      <c r="Q834" s="145"/>
      <c r="R834" s="145"/>
      <c r="S834" s="145"/>
      <c r="T834" s="145"/>
      <c r="U834" s="145"/>
      <c r="V834" s="145"/>
      <c r="W834" s="145"/>
      <c r="X834" s="145"/>
      <c r="Y834" s="145"/>
      <c r="Z834" s="145"/>
    </row>
    <row r="835" spans="1:26" ht="15.75" x14ac:dyDescent="0.25">
      <c r="A835" s="145"/>
      <c r="B835" s="145"/>
      <c r="C835" s="145"/>
      <c r="D835" s="145"/>
      <c r="E835" s="145"/>
      <c r="F835" s="145"/>
      <c r="G835" s="145"/>
      <c r="H835" s="145"/>
      <c r="I835" s="145"/>
      <c r="J835" s="145"/>
      <c r="K835" s="145"/>
      <c r="L835" s="145"/>
      <c r="M835" s="145"/>
      <c r="N835" s="145"/>
      <c r="O835" s="145"/>
      <c r="P835" s="145"/>
      <c r="Q835" s="145"/>
      <c r="R835" s="145"/>
      <c r="S835" s="145"/>
      <c r="T835" s="145"/>
      <c r="U835" s="145"/>
      <c r="V835" s="145"/>
      <c r="W835" s="145"/>
      <c r="X835" s="145"/>
      <c r="Y835" s="145"/>
      <c r="Z835" s="145"/>
    </row>
    <row r="836" spans="1:26" ht="15.75" x14ac:dyDescent="0.25">
      <c r="A836" s="145"/>
      <c r="B836" s="145"/>
      <c r="C836" s="145"/>
      <c r="D836" s="145"/>
      <c r="E836" s="145"/>
      <c r="F836" s="145"/>
      <c r="G836" s="145"/>
      <c r="H836" s="145"/>
      <c r="I836" s="145"/>
      <c r="J836" s="145"/>
      <c r="K836" s="145"/>
      <c r="L836" s="145"/>
      <c r="M836" s="145"/>
      <c r="N836" s="145"/>
      <c r="O836" s="145"/>
      <c r="P836" s="145"/>
      <c r="Q836" s="145"/>
      <c r="R836" s="145"/>
      <c r="S836" s="145"/>
      <c r="T836" s="145"/>
      <c r="U836" s="145"/>
      <c r="V836" s="145"/>
      <c r="W836" s="145"/>
      <c r="X836" s="145"/>
      <c r="Y836" s="145"/>
      <c r="Z836" s="145"/>
    </row>
    <row r="837" spans="1:26" ht="15.75" x14ac:dyDescent="0.25">
      <c r="A837" s="145"/>
      <c r="B837" s="145"/>
      <c r="C837" s="145"/>
      <c r="D837" s="145"/>
      <c r="E837" s="145"/>
      <c r="F837" s="145"/>
      <c r="G837" s="145"/>
      <c r="H837" s="145"/>
      <c r="I837" s="145"/>
      <c r="J837" s="145"/>
      <c r="K837" s="145"/>
      <c r="L837" s="145"/>
      <c r="M837" s="145"/>
      <c r="N837" s="145"/>
      <c r="O837" s="145"/>
      <c r="P837" s="145"/>
      <c r="Q837" s="145"/>
      <c r="R837" s="145"/>
      <c r="S837" s="145"/>
      <c r="T837" s="145"/>
      <c r="U837" s="145"/>
      <c r="V837" s="145"/>
      <c r="W837" s="145"/>
      <c r="X837" s="145"/>
      <c r="Y837" s="145"/>
      <c r="Z837" s="145"/>
    </row>
    <row r="838" spans="1:26" ht="15.75" x14ac:dyDescent="0.25">
      <c r="A838" s="145"/>
      <c r="B838" s="145"/>
      <c r="C838" s="145"/>
      <c r="D838" s="145"/>
      <c r="E838" s="145"/>
      <c r="F838" s="145"/>
      <c r="G838" s="145"/>
      <c r="H838" s="145"/>
      <c r="I838" s="145"/>
      <c r="J838" s="145"/>
      <c r="K838" s="145"/>
      <c r="L838" s="145"/>
      <c r="M838" s="145"/>
      <c r="N838" s="145"/>
      <c r="O838" s="145"/>
      <c r="P838" s="145"/>
      <c r="Q838" s="145"/>
      <c r="R838" s="145"/>
      <c r="S838" s="145"/>
      <c r="T838" s="145"/>
      <c r="U838" s="145"/>
      <c r="V838" s="145"/>
      <c r="W838" s="145"/>
      <c r="X838" s="145"/>
      <c r="Y838" s="145"/>
      <c r="Z838" s="145"/>
    </row>
    <row r="839" spans="1:26" ht="15.75" x14ac:dyDescent="0.25">
      <c r="A839" s="145"/>
      <c r="B839" s="145"/>
      <c r="C839" s="145"/>
      <c r="D839" s="145"/>
      <c r="E839" s="145"/>
      <c r="F839" s="145"/>
      <c r="G839" s="145"/>
      <c r="H839" s="145"/>
      <c r="I839" s="145"/>
      <c r="J839" s="145"/>
      <c r="K839" s="145"/>
      <c r="L839" s="145"/>
      <c r="M839" s="145"/>
      <c r="N839" s="145"/>
      <c r="O839" s="145"/>
      <c r="P839" s="145"/>
      <c r="Q839" s="145"/>
      <c r="R839" s="145"/>
      <c r="S839" s="145"/>
      <c r="T839" s="145"/>
      <c r="U839" s="145"/>
      <c r="V839" s="145"/>
      <c r="W839" s="145"/>
      <c r="X839" s="145"/>
      <c r="Y839" s="145"/>
      <c r="Z839" s="145"/>
    </row>
    <row r="840" spans="1:26" ht="15.75" x14ac:dyDescent="0.25">
      <c r="A840" s="145"/>
      <c r="B840" s="145"/>
      <c r="C840" s="145"/>
      <c r="D840" s="145"/>
      <c r="E840" s="145"/>
      <c r="F840" s="145"/>
      <c r="G840" s="145"/>
      <c r="H840" s="145"/>
      <c r="I840" s="145"/>
      <c r="J840" s="145"/>
      <c r="K840" s="145"/>
      <c r="L840" s="145"/>
      <c r="M840" s="145"/>
      <c r="N840" s="145"/>
      <c r="O840" s="145"/>
      <c r="P840" s="145"/>
      <c r="Q840" s="145"/>
      <c r="R840" s="145"/>
      <c r="S840" s="145"/>
      <c r="T840" s="145"/>
      <c r="U840" s="145"/>
      <c r="V840" s="145"/>
      <c r="W840" s="145"/>
      <c r="X840" s="145"/>
      <c r="Y840" s="145"/>
      <c r="Z840" s="145"/>
    </row>
    <row r="841" spans="1:26" ht="15.75" x14ac:dyDescent="0.25">
      <c r="A841" s="145"/>
      <c r="B841" s="145"/>
      <c r="C841" s="145"/>
      <c r="D841" s="145"/>
      <c r="E841" s="145"/>
      <c r="F841" s="145"/>
      <c r="G841" s="145"/>
      <c r="H841" s="145"/>
      <c r="I841" s="145"/>
      <c r="J841" s="145"/>
      <c r="K841" s="145"/>
      <c r="L841" s="145"/>
      <c r="M841" s="145"/>
      <c r="N841" s="145"/>
      <c r="O841" s="145"/>
      <c r="P841" s="145"/>
      <c r="Q841" s="145"/>
      <c r="R841" s="145"/>
      <c r="S841" s="145"/>
      <c r="T841" s="145"/>
      <c r="U841" s="145"/>
      <c r="V841" s="145"/>
      <c r="W841" s="145"/>
      <c r="X841" s="145"/>
      <c r="Y841" s="145"/>
      <c r="Z841" s="145"/>
    </row>
    <row r="842" spans="1:26" ht="15.75" x14ac:dyDescent="0.25">
      <c r="A842" s="145"/>
      <c r="B842" s="145"/>
      <c r="C842" s="145"/>
      <c r="D842" s="145"/>
      <c r="E842" s="145"/>
      <c r="F842" s="145"/>
      <c r="G842" s="145"/>
      <c r="H842" s="145"/>
      <c r="I842" s="145"/>
      <c r="J842" s="145"/>
      <c r="K842" s="145"/>
      <c r="L842" s="145"/>
      <c r="M842" s="145"/>
      <c r="N842" s="145"/>
      <c r="O842" s="145"/>
      <c r="P842" s="145"/>
      <c r="Q842" s="145"/>
      <c r="R842" s="145"/>
      <c r="S842" s="145"/>
      <c r="T842" s="145"/>
      <c r="U842" s="145"/>
      <c r="V842" s="145"/>
      <c r="W842" s="145"/>
      <c r="X842" s="145"/>
      <c r="Y842" s="145"/>
      <c r="Z842" s="145"/>
    </row>
    <row r="843" spans="1:26" ht="15.75" x14ac:dyDescent="0.25">
      <c r="A843" s="145"/>
      <c r="B843" s="145"/>
      <c r="C843" s="145"/>
      <c r="D843" s="145"/>
      <c r="E843" s="145"/>
      <c r="F843" s="145"/>
      <c r="G843" s="145"/>
      <c r="H843" s="145"/>
      <c r="I843" s="145"/>
      <c r="J843" s="145"/>
      <c r="K843" s="145"/>
      <c r="L843" s="145"/>
      <c r="M843" s="145"/>
      <c r="N843" s="145"/>
      <c r="O843" s="145"/>
      <c r="P843" s="145"/>
      <c r="Q843" s="145"/>
      <c r="R843" s="145"/>
      <c r="S843" s="145"/>
      <c r="T843" s="145"/>
      <c r="U843" s="145"/>
      <c r="V843" s="145"/>
      <c r="W843" s="145"/>
      <c r="X843" s="145"/>
      <c r="Y843" s="145"/>
      <c r="Z843" s="145"/>
    </row>
    <row r="844" spans="1:26" ht="15.75" x14ac:dyDescent="0.25">
      <c r="A844" s="145"/>
      <c r="B844" s="145"/>
      <c r="C844" s="145"/>
      <c r="D844" s="145"/>
      <c r="E844" s="145"/>
      <c r="F844" s="145"/>
      <c r="G844" s="145"/>
      <c r="H844" s="145"/>
      <c r="I844" s="145"/>
      <c r="J844" s="145"/>
      <c r="K844" s="145"/>
      <c r="L844" s="145"/>
      <c r="M844" s="145"/>
      <c r="N844" s="145"/>
      <c r="O844" s="145"/>
      <c r="P844" s="145"/>
      <c r="Q844" s="145"/>
      <c r="R844" s="145"/>
      <c r="S844" s="145"/>
      <c r="T844" s="145"/>
      <c r="U844" s="145"/>
      <c r="V844" s="145"/>
      <c r="W844" s="145"/>
      <c r="X844" s="145"/>
      <c r="Y844" s="145"/>
      <c r="Z844" s="145"/>
    </row>
    <row r="845" spans="1:26" ht="15.75" x14ac:dyDescent="0.25">
      <c r="A845" s="145"/>
      <c r="B845" s="145"/>
      <c r="C845" s="145"/>
      <c r="D845" s="145"/>
      <c r="E845" s="145"/>
      <c r="F845" s="145"/>
      <c r="G845" s="145"/>
      <c r="H845" s="145"/>
      <c r="I845" s="145"/>
      <c r="J845" s="145"/>
      <c r="K845" s="145"/>
      <c r="L845" s="145"/>
      <c r="M845" s="145"/>
      <c r="N845" s="145"/>
      <c r="O845" s="145"/>
      <c r="P845" s="145"/>
      <c r="Q845" s="145"/>
      <c r="R845" s="145"/>
      <c r="S845" s="145"/>
      <c r="T845" s="145"/>
      <c r="U845" s="145"/>
      <c r="V845" s="145"/>
      <c r="W845" s="145"/>
      <c r="X845" s="145"/>
      <c r="Y845" s="145"/>
      <c r="Z845" s="145"/>
    </row>
    <row r="846" spans="1:26" ht="15.75" x14ac:dyDescent="0.25">
      <c r="A846" s="145"/>
      <c r="B846" s="145"/>
      <c r="C846" s="145"/>
      <c r="D846" s="145"/>
      <c r="E846" s="145"/>
      <c r="F846" s="145"/>
      <c r="G846" s="145"/>
      <c r="H846" s="145"/>
      <c r="I846" s="145"/>
      <c r="J846" s="145"/>
      <c r="K846" s="145"/>
      <c r="L846" s="145"/>
      <c r="M846" s="145"/>
      <c r="N846" s="145"/>
      <c r="O846" s="145"/>
      <c r="P846" s="145"/>
      <c r="Q846" s="145"/>
      <c r="R846" s="145"/>
      <c r="S846" s="145"/>
      <c r="T846" s="145"/>
      <c r="U846" s="145"/>
      <c r="V846" s="145"/>
      <c r="W846" s="145"/>
      <c r="X846" s="145"/>
      <c r="Y846" s="145"/>
      <c r="Z846" s="145"/>
    </row>
    <row r="847" spans="1:26" ht="15.75" x14ac:dyDescent="0.25">
      <c r="A847" s="145"/>
      <c r="B847" s="145"/>
      <c r="C847" s="145"/>
      <c r="D847" s="145"/>
      <c r="E847" s="145"/>
      <c r="F847" s="145"/>
      <c r="G847" s="145"/>
      <c r="H847" s="145"/>
      <c r="I847" s="145"/>
      <c r="J847" s="145"/>
      <c r="K847" s="145"/>
      <c r="L847" s="145"/>
      <c r="M847" s="145"/>
      <c r="N847" s="145"/>
      <c r="O847" s="145"/>
      <c r="P847" s="145"/>
      <c r="Q847" s="145"/>
      <c r="R847" s="145"/>
      <c r="S847" s="145"/>
      <c r="T847" s="145"/>
      <c r="U847" s="145"/>
      <c r="V847" s="145"/>
      <c r="W847" s="145"/>
      <c r="X847" s="145"/>
      <c r="Y847" s="145"/>
      <c r="Z847" s="145"/>
    </row>
    <row r="848" spans="1:26" ht="15.75" x14ac:dyDescent="0.25">
      <c r="A848" s="145"/>
      <c r="B848" s="145"/>
      <c r="C848" s="145"/>
      <c r="D848" s="145"/>
      <c r="E848" s="145"/>
      <c r="F848" s="145"/>
      <c r="G848" s="145"/>
      <c r="H848" s="145"/>
      <c r="I848" s="145"/>
      <c r="J848" s="145"/>
      <c r="K848" s="145"/>
      <c r="L848" s="145"/>
      <c r="M848" s="145"/>
      <c r="N848" s="145"/>
      <c r="O848" s="145"/>
      <c r="P848" s="145"/>
      <c r="Q848" s="145"/>
      <c r="R848" s="145"/>
      <c r="S848" s="145"/>
      <c r="T848" s="145"/>
      <c r="U848" s="145"/>
      <c r="V848" s="145"/>
      <c r="W848" s="145"/>
      <c r="X848" s="145"/>
      <c r="Y848" s="145"/>
      <c r="Z848" s="145"/>
    </row>
    <row r="849" spans="1:26" ht="15.75" x14ac:dyDescent="0.25">
      <c r="A849" s="145"/>
      <c r="B849" s="145"/>
      <c r="C849" s="145"/>
      <c r="D849" s="145"/>
      <c r="E849" s="145"/>
      <c r="F849" s="145"/>
      <c r="G849" s="145"/>
      <c r="H849" s="145"/>
      <c r="I849" s="145"/>
      <c r="J849" s="145"/>
      <c r="K849" s="145"/>
      <c r="L849" s="145"/>
      <c r="M849" s="145"/>
      <c r="N849" s="145"/>
      <c r="O849" s="145"/>
      <c r="P849" s="145"/>
      <c r="Q849" s="145"/>
      <c r="R849" s="145"/>
      <c r="S849" s="145"/>
      <c r="T849" s="145"/>
      <c r="U849" s="145"/>
      <c r="V849" s="145"/>
      <c r="W849" s="145"/>
      <c r="X849" s="145"/>
      <c r="Y849" s="145"/>
      <c r="Z849" s="145"/>
    </row>
    <row r="850" spans="1:26" ht="15.75" x14ac:dyDescent="0.25">
      <c r="A850" s="145"/>
      <c r="B850" s="145"/>
      <c r="C850" s="145"/>
      <c r="D850" s="145"/>
      <c r="E850" s="145"/>
      <c r="F850" s="145"/>
      <c r="G850" s="145"/>
      <c r="H850" s="145"/>
      <c r="I850" s="145"/>
      <c r="J850" s="145"/>
      <c r="K850" s="145"/>
      <c r="L850" s="145"/>
      <c r="M850" s="145"/>
      <c r="N850" s="145"/>
      <c r="O850" s="145"/>
      <c r="P850" s="145"/>
      <c r="Q850" s="145"/>
      <c r="R850" s="145"/>
      <c r="S850" s="145"/>
      <c r="T850" s="145"/>
      <c r="U850" s="145"/>
      <c r="V850" s="145"/>
      <c r="W850" s="145"/>
      <c r="X850" s="145"/>
      <c r="Y850" s="145"/>
      <c r="Z850" s="145"/>
    </row>
    <row r="851" spans="1:26" ht="15.75" x14ac:dyDescent="0.25">
      <c r="A851" s="145"/>
      <c r="B851" s="145"/>
      <c r="C851" s="145"/>
      <c r="D851" s="145"/>
      <c r="E851" s="145"/>
      <c r="F851" s="145"/>
      <c r="G851" s="145"/>
      <c r="H851" s="145"/>
      <c r="I851" s="145"/>
      <c r="J851" s="145"/>
      <c r="K851" s="145"/>
      <c r="L851" s="145"/>
      <c r="M851" s="145"/>
      <c r="N851" s="145"/>
      <c r="O851" s="145"/>
      <c r="P851" s="145"/>
      <c r="Q851" s="145"/>
      <c r="R851" s="145"/>
      <c r="S851" s="145"/>
      <c r="T851" s="145"/>
      <c r="U851" s="145"/>
      <c r="V851" s="145"/>
      <c r="W851" s="145"/>
      <c r="X851" s="145"/>
      <c r="Y851" s="145"/>
      <c r="Z851" s="145"/>
    </row>
    <row r="852" spans="1:26" ht="15.75" x14ac:dyDescent="0.25">
      <c r="A852" s="145"/>
      <c r="B852" s="145"/>
      <c r="C852" s="145"/>
      <c r="D852" s="145"/>
      <c r="E852" s="145"/>
      <c r="F852" s="145"/>
      <c r="G852" s="145"/>
      <c r="H852" s="145"/>
      <c r="I852" s="145"/>
      <c r="J852" s="145"/>
      <c r="K852" s="145"/>
      <c r="L852" s="145"/>
      <c r="M852" s="145"/>
      <c r="N852" s="145"/>
      <c r="O852" s="145"/>
      <c r="P852" s="145"/>
      <c r="Q852" s="145"/>
      <c r="R852" s="145"/>
      <c r="S852" s="145"/>
      <c r="T852" s="145"/>
      <c r="U852" s="145"/>
      <c r="V852" s="145"/>
      <c r="W852" s="145"/>
      <c r="X852" s="145"/>
      <c r="Y852" s="145"/>
      <c r="Z852" s="145"/>
    </row>
    <row r="853" spans="1:26" ht="15.75" x14ac:dyDescent="0.25">
      <c r="A853" s="145"/>
      <c r="B853" s="145"/>
      <c r="C853" s="145"/>
      <c r="D853" s="145"/>
      <c r="E853" s="145"/>
      <c r="F853" s="145"/>
      <c r="G853" s="145"/>
      <c r="H853" s="145"/>
      <c r="I853" s="145"/>
      <c r="J853" s="145"/>
      <c r="K853" s="145"/>
      <c r="L853" s="145"/>
      <c r="M853" s="145"/>
      <c r="N853" s="145"/>
      <c r="O853" s="145"/>
      <c r="P853" s="145"/>
      <c r="Q853" s="145"/>
      <c r="R853" s="145"/>
      <c r="S853" s="145"/>
      <c r="T853" s="145"/>
      <c r="U853" s="145"/>
      <c r="V853" s="145"/>
      <c r="W853" s="145"/>
      <c r="X853" s="145"/>
      <c r="Y853" s="145"/>
      <c r="Z853" s="145"/>
    </row>
    <row r="854" spans="1:26" ht="15.75" x14ac:dyDescent="0.25">
      <c r="A854" s="145"/>
      <c r="B854" s="145"/>
      <c r="C854" s="145"/>
      <c r="D854" s="145"/>
      <c r="E854" s="145"/>
      <c r="F854" s="145"/>
      <c r="G854" s="145"/>
      <c r="H854" s="145"/>
      <c r="I854" s="145"/>
      <c r="J854" s="145"/>
      <c r="K854" s="145"/>
      <c r="L854" s="145"/>
      <c r="M854" s="145"/>
      <c r="N854" s="145"/>
      <c r="O854" s="145"/>
      <c r="P854" s="145"/>
      <c r="Q854" s="145"/>
      <c r="R854" s="145"/>
      <c r="S854" s="145"/>
      <c r="T854" s="145"/>
      <c r="U854" s="145"/>
      <c r="V854" s="145"/>
      <c r="W854" s="145"/>
      <c r="X854" s="145"/>
      <c r="Y854" s="145"/>
      <c r="Z854" s="145"/>
    </row>
    <row r="855" spans="1:26" ht="15.75" x14ac:dyDescent="0.25">
      <c r="A855" s="145"/>
      <c r="B855" s="145"/>
      <c r="C855" s="145"/>
      <c r="D855" s="145"/>
      <c r="E855" s="145"/>
      <c r="F855" s="145"/>
      <c r="G855" s="145"/>
      <c r="H855" s="145"/>
      <c r="I855" s="145"/>
      <c r="J855" s="145"/>
      <c r="K855" s="145"/>
      <c r="L855" s="145"/>
      <c r="M855" s="145"/>
      <c r="N855" s="145"/>
      <c r="O855" s="145"/>
      <c r="P855" s="145"/>
      <c r="Q855" s="145"/>
      <c r="R855" s="145"/>
      <c r="S855" s="145"/>
      <c r="T855" s="145"/>
      <c r="U855" s="145"/>
      <c r="V855" s="145"/>
      <c r="W855" s="145"/>
      <c r="X855" s="145"/>
      <c r="Y855" s="145"/>
      <c r="Z855" s="145"/>
    </row>
    <row r="856" spans="1:26" ht="15.75" x14ac:dyDescent="0.25">
      <c r="A856" s="145"/>
      <c r="B856" s="145"/>
      <c r="C856" s="145"/>
      <c r="D856" s="145"/>
      <c r="E856" s="145"/>
      <c r="F856" s="145"/>
      <c r="G856" s="145"/>
      <c r="H856" s="145"/>
      <c r="I856" s="145"/>
      <c r="J856" s="145"/>
      <c r="K856" s="145"/>
      <c r="L856" s="145"/>
      <c r="M856" s="145"/>
      <c r="N856" s="145"/>
      <c r="O856" s="145"/>
      <c r="P856" s="145"/>
      <c r="Q856" s="145"/>
      <c r="R856" s="145"/>
      <c r="S856" s="145"/>
      <c r="T856" s="145"/>
      <c r="U856" s="145"/>
      <c r="V856" s="145"/>
      <c r="W856" s="145"/>
      <c r="X856" s="145"/>
      <c r="Y856" s="145"/>
      <c r="Z856" s="145"/>
    </row>
    <row r="857" spans="1:26" ht="15.75" x14ac:dyDescent="0.25">
      <c r="A857" s="145"/>
      <c r="B857" s="145"/>
      <c r="C857" s="145"/>
      <c r="D857" s="145"/>
      <c r="E857" s="145"/>
      <c r="F857" s="145"/>
      <c r="G857" s="145"/>
      <c r="H857" s="145"/>
      <c r="I857" s="145"/>
      <c r="J857" s="145"/>
      <c r="K857" s="145"/>
      <c r="L857" s="145"/>
      <c r="M857" s="145"/>
      <c r="N857" s="145"/>
      <c r="O857" s="145"/>
      <c r="P857" s="145"/>
      <c r="Q857" s="145"/>
      <c r="R857" s="145"/>
      <c r="S857" s="145"/>
      <c r="T857" s="145"/>
      <c r="U857" s="145"/>
      <c r="V857" s="145"/>
      <c r="W857" s="145"/>
      <c r="X857" s="145"/>
      <c r="Y857" s="145"/>
      <c r="Z857" s="145"/>
    </row>
    <row r="858" spans="1:26" ht="15.75" x14ac:dyDescent="0.25">
      <c r="A858" s="145"/>
      <c r="B858" s="145"/>
      <c r="C858" s="145"/>
      <c r="D858" s="145"/>
      <c r="E858" s="145"/>
      <c r="F858" s="145"/>
      <c r="G858" s="145"/>
      <c r="H858" s="145"/>
      <c r="I858" s="145"/>
      <c r="J858" s="145"/>
      <c r="K858" s="145"/>
      <c r="L858" s="145"/>
      <c r="M858" s="145"/>
      <c r="N858" s="145"/>
      <c r="O858" s="145"/>
      <c r="P858" s="145"/>
      <c r="Q858" s="145"/>
      <c r="R858" s="145"/>
      <c r="S858" s="145"/>
      <c r="T858" s="145"/>
      <c r="U858" s="145"/>
      <c r="V858" s="145"/>
      <c r="W858" s="145"/>
      <c r="X858" s="145"/>
      <c r="Y858" s="145"/>
      <c r="Z858" s="145"/>
    </row>
    <row r="859" spans="1:26" ht="15.75" x14ac:dyDescent="0.25">
      <c r="A859" s="145"/>
      <c r="B859" s="145"/>
      <c r="C859" s="145"/>
      <c r="D859" s="145"/>
      <c r="E859" s="145"/>
      <c r="F859" s="145"/>
      <c r="G859" s="145"/>
      <c r="H859" s="145"/>
      <c r="I859" s="145"/>
      <c r="J859" s="145"/>
      <c r="K859" s="145"/>
      <c r="L859" s="145"/>
      <c r="M859" s="145"/>
      <c r="N859" s="145"/>
      <c r="O859" s="145"/>
      <c r="P859" s="145"/>
      <c r="Q859" s="145"/>
      <c r="R859" s="145"/>
      <c r="S859" s="145"/>
      <c r="T859" s="145"/>
      <c r="U859" s="145"/>
      <c r="V859" s="145"/>
      <c r="W859" s="145"/>
      <c r="X859" s="145"/>
      <c r="Y859" s="145"/>
      <c r="Z859" s="145"/>
    </row>
    <row r="860" spans="1:26" ht="15.75" x14ac:dyDescent="0.25">
      <c r="A860" s="145"/>
      <c r="B860" s="145"/>
      <c r="C860" s="145"/>
      <c r="D860" s="145"/>
      <c r="E860" s="145"/>
      <c r="F860" s="145"/>
      <c r="G860" s="145"/>
      <c r="H860" s="145"/>
      <c r="I860" s="145"/>
      <c r="J860" s="145"/>
      <c r="K860" s="145"/>
      <c r="L860" s="145"/>
      <c r="M860" s="145"/>
      <c r="N860" s="145"/>
      <c r="O860" s="145"/>
      <c r="P860" s="145"/>
      <c r="Q860" s="145"/>
      <c r="R860" s="145"/>
      <c r="S860" s="145"/>
      <c r="T860" s="145"/>
      <c r="U860" s="145"/>
      <c r="V860" s="145"/>
      <c r="W860" s="145"/>
      <c r="X860" s="145"/>
      <c r="Y860" s="145"/>
      <c r="Z860" s="145"/>
    </row>
    <row r="861" spans="1:26" ht="15.75" x14ac:dyDescent="0.25">
      <c r="A861" s="145"/>
      <c r="B861" s="145"/>
      <c r="C861" s="145"/>
      <c r="D861" s="145"/>
      <c r="E861" s="145"/>
      <c r="F861" s="145"/>
      <c r="G861" s="145"/>
      <c r="H861" s="145"/>
      <c r="I861" s="145"/>
      <c r="J861" s="145"/>
      <c r="K861" s="145"/>
      <c r="L861" s="145"/>
      <c r="M861" s="145"/>
      <c r="N861" s="145"/>
      <c r="O861" s="145"/>
      <c r="P861" s="145"/>
      <c r="Q861" s="145"/>
      <c r="R861" s="145"/>
      <c r="S861" s="145"/>
      <c r="T861" s="145"/>
      <c r="U861" s="145"/>
      <c r="V861" s="145"/>
      <c r="W861" s="145"/>
      <c r="X861" s="145"/>
      <c r="Y861" s="145"/>
      <c r="Z861" s="145"/>
    </row>
    <row r="862" spans="1:26" ht="15.75" x14ac:dyDescent="0.25">
      <c r="A862" s="145"/>
      <c r="B862" s="145"/>
      <c r="C862" s="145"/>
      <c r="D862" s="145"/>
      <c r="E862" s="145"/>
      <c r="F862" s="145"/>
      <c r="G862" s="145"/>
      <c r="H862" s="145"/>
      <c r="I862" s="145"/>
      <c r="J862" s="145"/>
      <c r="K862" s="145"/>
      <c r="L862" s="145"/>
      <c r="M862" s="145"/>
      <c r="N862" s="145"/>
      <c r="O862" s="145"/>
      <c r="P862" s="145"/>
      <c r="Q862" s="145"/>
      <c r="R862" s="145"/>
      <c r="S862" s="145"/>
      <c r="T862" s="145"/>
      <c r="U862" s="145"/>
      <c r="V862" s="145"/>
      <c r="W862" s="145"/>
      <c r="X862" s="145"/>
      <c r="Y862" s="145"/>
      <c r="Z862" s="145"/>
    </row>
    <row r="863" spans="1:26" ht="15.75" x14ac:dyDescent="0.25">
      <c r="A863" s="145"/>
      <c r="B863" s="145"/>
      <c r="C863" s="145"/>
      <c r="D863" s="145"/>
      <c r="E863" s="145"/>
      <c r="F863" s="145"/>
      <c r="G863" s="145"/>
      <c r="H863" s="145"/>
      <c r="I863" s="145"/>
      <c r="J863" s="145"/>
      <c r="K863" s="145"/>
      <c r="L863" s="145"/>
      <c r="M863" s="145"/>
      <c r="N863" s="145"/>
      <c r="O863" s="145"/>
      <c r="P863" s="145"/>
      <c r="Q863" s="145"/>
      <c r="R863" s="145"/>
      <c r="S863" s="145"/>
      <c r="T863" s="145"/>
      <c r="U863" s="145"/>
      <c r="V863" s="145"/>
      <c r="W863" s="145"/>
      <c r="X863" s="145"/>
      <c r="Y863" s="145"/>
      <c r="Z863" s="145"/>
    </row>
    <row r="864" spans="1:26" ht="15.75" x14ac:dyDescent="0.25">
      <c r="A864" s="145"/>
      <c r="B864" s="145"/>
      <c r="C864" s="145"/>
      <c r="D864" s="145"/>
      <c r="E864" s="145"/>
      <c r="F864" s="145"/>
      <c r="G864" s="145"/>
      <c r="H864" s="145"/>
      <c r="I864" s="145"/>
      <c r="J864" s="145"/>
      <c r="K864" s="145"/>
      <c r="L864" s="145"/>
      <c r="M864" s="145"/>
      <c r="N864" s="145"/>
      <c r="O864" s="145"/>
      <c r="P864" s="145"/>
      <c r="Q864" s="145"/>
      <c r="R864" s="145"/>
      <c r="S864" s="145"/>
      <c r="T864" s="145"/>
      <c r="U864" s="145"/>
      <c r="V864" s="145"/>
      <c r="W864" s="145"/>
      <c r="X864" s="145"/>
      <c r="Y864" s="145"/>
      <c r="Z864" s="145"/>
    </row>
    <row r="865" spans="1:26" ht="15.75" x14ac:dyDescent="0.25">
      <c r="A865" s="145"/>
      <c r="B865" s="145"/>
      <c r="C865" s="145"/>
      <c r="D865" s="145"/>
      <c r="E865" s="145"/>
      <c r="F865" s="145"/>
      <c r="G865" s="145"/>
      <c r="H865" s="145"/>
      <c r="I865" s="145"/>
      <c r="J865" s="145"/>
      <c r="K865" s="145"/>
      <c r="L865" s="145"/>
      <c r="M865" s="145"/>
      <c r="N865" s="145"/>
      <c r="O865" s="145"/>
      <c r="P865" s="145"/>
      <c r="Q865" s="145"/>
      <c r="R865" s="145"/>
      <c r="S865" s="145"/>
      <c r="T865" s="145"/>
      <c r="U865" s="145"/>
      <c r="V865" s="145"/>
      <c r="W865" s="145"/>
      <c r="X865" s="145"/>
      <c r="Y865" s="145"/>
      <c r="Z865" s="145"/>
    </row>
    <row r="866" spans="1:26" ht="15.75" x14ac:dyDescent="0.25">
      <c r="A866" s="145"/>
      <c r="B866" s="145"/>
      <c r="C866" s="145"/>
      <c r="D866" s="145"/>
      <c r="E866" s="145"/>
      <c r="F866" s="145"/>
      <c r="G866" s="145"/>
      <c r="H866" s="145"/>
      <c r="I866" s="145"/>
      <c r="J866" s="145"/>
      <c r="K866" s="145"/>
      <c r="L866" s="145"/>
      <c r="M866" s="145"/>
      <c r="N866" s="145"/>
      <c r="O866" s="145"/>
      <c r="P866" s="145"/>
      <c r="Q866" s="145"/>
      <c r="R866" s="145"/>
      <c r="S866" s="145"/>
      <c r="T866" s="145"/>
      <c r="U866" s="145"/>
      <c r="V866" s="145"/>
      <c r="W866" s="145"/>
      <c r="X866" s="145"/>
      <c r="Y866" s="145"/>
      <c r="Z866" s="145"/>
    </row>
    <row r="867" spans="1:26" ht="15.75" x14ac:dyDescent="0.25">
      <c r="A867" s="145"/>
      <c r="B867" s="145"/>
      <c r="C867" s="145"/>
      <c r="D867" s="145"/>
      <c r="E867" s="145"/>
      <c r="F867" s="145"/>
      <c r="G867" s="145"/>
      <c r="H867" s="145"/>
      <c r="I867" s="145"/>
      <c r="J867" s="145"/>
      <c r="K867" s="145"/>
      <c r="L867" s="145"/>
      <c r="M867" s="145"/>
      <c r="N867" s="145"/>
      <c r="O867" s="145"/>
      <c r="P867" s="145"/>
      <c r="Q867" s="145"/>
      <c r="R867" s="145"/>
      <c r="S867" s="145"/>
      <c r="T867" s="145"/>
      <c r="U867" s="145"/>
      <c r="V867" s="145"/>
      <c r="W867" s="145"/>
      <c r="X867" s="145"/>
      <c r="Y867" s="145"/>
      <c r="Z867" s="145"/>
    </row>
    <row r="868" spans="1:26" ht="15.75" x14ac:dyDescent="0.25">
      <c r="A868" s="145"/>
      <c r="B868" s="145"/>
      <c r="C868" s="145"/>
      <c r="D868" s="145"/>
      <c r="E868" s="145"/>
      <c r="F868" s="145"/>
      <c r="G868" s="145"/>
      <c r="H868" s="145"/>
      <c r="I868" s="145"/>
      <c r="J868" s="145"/>
      <c r="K868" s="145"/>
      <c r="L868" s="145"/>
      <c r="M868" s="145"/>
      <c r="N868" s="145"/>
      <c r="O868" s="145"/>
      <c r="P868" s="145"/>
      <c r="Q868" s="145"/>
      <c r="R868" s="145"/>
      <c r="S868" s="145"/>
      <c r="T868" s="145"/>
      <c r="U868" s="145"/>
      <c r="V868" s="145"/>
      <c r="W868" s="145"/>
      <c r="X868" s="145"/>
      <c r="Y868" s="145"/>
      <c r="Z868" s="145"/>
    </row>
    <row r="869" spans="1:26" ht="15.75" x14ac:dyDescent="0.25">
      <c r="A869" s="145"/>
      <c r="B869" s="145"/>
      <c r="C869" s="145"/>
      <c r="D869" s="145"/>
      <c r="E869" s="145"/>
      <c r="F869" s="145"/>
      <c r="G869" s="145"/>
      <c r="H869" s="145"/>
      <c r="I869" s="145"/>
      <c r="J869" s="145"/>
      <c r="K869" s="145"/>
      <c r="L869" s="145"/>
      <c r="M869" s="145"/>
      <c r="N869" s="145"/>
      <c r="O869" s="145"/>
      <c r="P869" s="145"/>
      <c r="Q869" s="145"/>
      <c r="R869" s="145"/>
      <c r="S869" s="145"/>
      <c r="T869" s="145"/>
      <c r="U869" s="145"/>
      <c r="V869" s="145"/>
      <c r="W869" s="145"/>
      <c r="X869" s="145"/>
      <c r="Y869" s="145"/>
      <c r="Z869" s="145"/>
    </row>
    <row r="870" spans="1:26" ht="15.75" x14ac:dyDescent="0.25">
      <c r="A870" s="145"/>
      <c r="B870" s="145"/>
      <c r="C870" s="145"/>
      <c r="D870" s="145"/>
      <c r="E870" s="145"/>
      <c r="F870" s="145"/>
      <c r="G870" s="145"/>
      <c r="H870" s="145"/>
      <c r="I870" s="145"/>
      <c r="J870" s="145"/>
      <c r="K870" s="145"/>
      <c r="L870" s="145"/>
      <c r="M870" s="145"/>
      <c r="N870" s="145"/>
      <c r="O870" s="145"/>
      <c r="P870" s="145"/>
      <c r="Q870" s="145"/>
      <c r="R870" s="145"/>
      <c r="S870" s="145"/>
      <c r="T870" s="145"/>
      <c r="U870" s="145"/>
      <c r="V870" s="145"/>
      <c r="W870" s="145"/>
      <c r="X870" s="145"/>
      <c r="Y870" s="145"/>
      <c r="Z870" s="145"/>
    </row>
    <row r="871" spans="1:26" ht="15.75" x14ac:dyDescent="0.25">
      <c r="A871" s="145"/>
      <c r="B871" s="145"/>
      <c r="C871" s="145"/>
      <c r="D871" s="145"/>
      <c r="E871" s="145"/>
      <c r="F871" s="145"/>
      <c r="G871" s="145"/>
      <c r="H871" s="145"/>
      <c r="I871" s="145"/>
      <c r="J871" s="145"/>
      <c r="K871" s="145"/>
      <c r="L871" s="145"/>
      <c r="M871" s="145"/>
      <c r="N871" s="145"/>
      <c r="O871" s="145"/>
      <c r="P871" s="145"/>
      <c r="Q871" s="145"/>
      <c r="R871" s="145"/>
      <c r="S871" s="145"/>
      <c r="T871" s="145"/>
      <c r="U871" s="145"/>
      <c r="V871" s="145"/>
      <c r="W871" s="145"/>
      <c r="X871" s="145"/>
      <c r="Y871" s="145"/>
      <c r="Z871" s="145"/>
    </row>
    <row r="872" spans="1:26" ht="15.75" x14ac:dyDescent="0.25">
      <c r="A872" s="145"/>
      <c r="B872" s="145"/>
      <c r="C872" s="145"/>
      <c r="D872" s="145"/>
      <c r="E872" s="145"/>
      <c r="F872" s="145"/>
      <c r="G872" s="145"/>
      <c r="H872" s="145"/>
      <c r="I872" s="145"/>
      <c r="J872" s="145"/>
      <c r="K872" s="145"/>
      <c r="L872" s="145"/>
      <c r="M872" s="145"/>
      <c r="N872" s="145"/>
      <c r="O872" s="145"/>
      <c r="P872" s="145"/>
      <c r="Q872" s="145"/>
      <c r="R872" s="145"/>
      <c r="S872" s="145"/>
      <c r="T872" s="145"/>
      <c r="U872" s="145"/>
      <c r="V872" s="145"/>
      <c r="W872" s="145"/>
      <c r="X872" s="145"/>
      <c r="Y872" s="145"/>
      <c r="Z872" s="145"/>
    </row>
    <row r="873" spans="1:26" ht="15.75" x14ac:dyDescent="0.25">
      <c r="A873" s="145"/>
      <c r="B873" s="145"/>
      <c r="C873" s="145"/>
      <c r="D873" s="145"/>
      <c r="E873" s="145"/>
      <c r="F873" s="145"/>
      <c r="G873" s="145"/>
      <c r="H873" s="145"/>
      <c r="I873" s="145"/>
      <c r="J873" s="145"/>
      <c r="K873" s="145"/>
      <c r="L873" s="145"/>
      <c r="M873" s="145"/>
      <c r="N873" s="145"/>
      <c r="O873" s="145"/>
      <c r="P873" s="145"/>
      <c r="Q873" s="145"/>
      <c r="R873" s="145"/>
      <c r="S873" s="145"/>
      <c r="T873" s="145"/>
      <c r="U873" s="145"/>
      <c r="V873" s="145"/>
      <c r="W873" s="145"/>
      <c r="X873" s="145"/>
      <c r="Y873" s="145"/>
      <c r="Z873" s="145"/>
    </row>
    <row r="874" spans="1:26" ht="15.75" x14ac:dyDescent="0.25">
      <c r="A874" s="145"/>
      <c r="B874" s="145"/>
      <c r="C874" s="145"/>
      <c r="D874" s="145"/>
      <c r="E874" s="145"/>
      <c r="F874" s="145"/>
      <c r="G874" s="145"/>
      <c r="H874" s="145"/>
      <c r="I874" s="145"/>
      <c r="J874" s="145"/>
      <c r="K874" s="145"/>
      <c r="L874" s="145"/>
      <c r="M874" s="145"/>
      <c r="N874" s="145"/>
      <c r="O874" s="145"/>
      <c r="P874" s="145"/>
      <c r="Q874" s="145"/>
      <c r="R874" s="145"/>
      <c r="S874" s="145"/>
      <c r="T874" s="145"/>
      <c r="U874" s="145"/>
      <c r="V874" s="145"/>
      <c r="W874" s="145"/>
      <c r="X874" s="145"/>
      <c r="Y874" s="145"/>
      <c r="Z874" s="145"/>
    </row>
    <row r="875" spans="1:26" ht="15.75" x14ac:dyDescent="0.25">
      <c r="A875" s="145"/>
      <c r="B875" s="145"/>
      <c r="C875" s="145"/>
      <c r="D875" s="145"/>
      <c r="E875" s="145"/>
      <c r="F875" s="145"/>
      <c r="G875" s="145"/>
      <c r="H875" s="145"/>
      <c r="I875" s="145"/>
      <c r="J875" s="145"/>
      <c r="K875" s="145"/>
      <c r="L875" s="145"/>
      <c r="M875" s="145"/>
      <c r="N875" s="145"/>
      <c r="O875" s="145"/>
      <c r="P875" s="145"/>
      <c r="Q875" s="145"/>
      <c r="R875" s="145"/>
      <c r="S875" s="145"/>
      <c r="T875" s="145"/>
      <c r="U875" s="145"/>
      <c r="V875" s="145"/>
      <c r="W875" s="145"/>
      <c r="X875" s="145"/>
      <c r="Y875" s="145"/>
      <c r="Z875" s="145"/>
    </row>
    <row r="876" spans="1:26" ht="15.75" x14ac:dyDescent="0.25">
      <c r="A876" s="145"/>
      <c r="B876" s="145"/>
      <c r="C876" s="145"/>
      <c r="D876" s="145"/>
      <c r="E876" s="145"/>
      <c r="F876" s="145"/>
      <c r="G876" s="145"/>
      <c r="H876" s="145"/>
      <c r="I876" s="145"/>
      <c r="J876" s="145"/>
      <c r="K876" s="145"/>
      <c r="L876" s="145"/>
      <c r="M876" s="145"/>
      <c r="N876" s="145"/>
      <c r="O876" s="145"/>
      <c r="P876" s="145"/>
      <c r="Q876" s="145"/>
      <c r="R876" s="145"/>
      <c r="S876" s="145"/>
      <c r="T876" s="145"/>
      <c r="U876" s="145"/>
      <c r="V876" s="145"/>
      <c r="W876" s="145"/>
      <c r="X876" s="145"/>
      <c r="Y876" s="145"/>
      <c r="Z876" s="145"/>
    </row>
    <row r="877" spans="1:26" ht="15.75" x14ac:dyDescent="0.25">
      <c r="A877" s="145"/>
      <c r="B877" s="145"/>
      <c r="C877" s="145"/>
      <c r="D877" s="145"/>
      <c r="E877" s="145"/>
      <c r="F877" s="145"/>
      <c r="G877" s="145"/>
      <c r="H877" s="145"/>
      <c r="I877" s="145"/>
      <c r="J877" s="145"/>
      <c r="K877" s="145"/>
      <c r="L877" s="145"/>
      <c r="M877" s="145"/>
      <c r="N877" s="145"/>
      <c r="O877" s="145"/>
      <c r="P877" s="145"/>
      <c r="Q877" s="145"/>
      <c r="R877" s="145"/>
      <c r="S877" s="145"/>
      <c r="T877" s="145"/>
      <c r="U877" s="145"/>
      <c r="V877" s="145"/>
      <c r="W877" s="145"/>
      <c r="X877" s="145"/>
      <c r="Y877" s="145"/>
      <c r="Z877" s="145"/>
    </row>
    <row r="878" spans="1:26" ht="15.75" x14ac:dyDescent="0.25">
      <c r="A878" s="145"/>
      <c r="B878" s="145"/>
      <c r="C878" s="145"/>
      <c r="D878" s="145"/>
      <c r="E878" s="145"/>
      <c r="F878" s="145"/>
      <c r="G878" s="145"/>
      <c r="H878" s="145"/>
      <c r="I878" s="145"/>
      <c r="J878" s="145"/>
      <c r="K878" s="145"/>
      <c r="L878" s="145"/>
      <c r="M878" s="145"/>
      <c r="N878" s="145"/>
      <c r="O878" s="145"/>
      <c r="P878" s="145"/>
      <c r="Q878" s="145"/>
      <c r="R878" s="145"/>
      <c r="S878" s="145"/>
      <c r="T878" s="145"/>
      <c r="U878" s="145"/>
      <c r="V878" s="145"/>
      <c r="W878" s="145"/>
      <c r="X878" s="145"/>
      <c r="Y878" s="145"/>
      <c r="Z878" s="145"/>
    </row>
    <row r="879" spans="1:26" ht="15.75" x14ac:dyDescent="0.25">
      <c r="A879" s="145"/>
      <c r="B879" s="145"/>
      <c r="C879" s="145"/>
      <c r="D879" s="145"/>
      <c r="E879" s="145"/>
      <c r="F879" s="145"/>
      <c r="G879" s="145"/>
      <c r="H879" s="145"/>
      <c r="I879" s="145"/>
      <c r="J879" s="145"/>
      <c r="K879" s="145"/>
      <c r="L879" s="145"/>
      <c r="M879" s="145"/>
      <c r="N879" s="145"/>
      <c r="O879" s="145"/>
      <c r="P879" s="145"/>
      <c r="Q879" s="145"/>
      <c r="R879" s="145"/>
      <c r="S879" s="145"/>
      <c r="T879" s="145"/>
      <c r="U879" s="145"/>
      <c r="V879" s="145"/>
      <c r="W879" s="145"/>
      <c r="X879" s="145"/>
      <c r="Y879" s="145"/>
      <c r="Z879" s="145"/>
    </row>
    <row r="880" spans="1:26" ht="15.75" x14ac:dyDescent="0.25">
      <c r="A880" s="145"/>
      <c r="B880" s="145"/>
      <c r="C880" s="145"/>
      <c r="D880" s="145"/>
      <c r="E880" s="145"/>
      <c r="F880" s="145"/>
      <c r="G880" s="145"/>
      <c r="H880" s="145"/>
      <c r="I880" s="145"/>
      <c r="J880" s="145"/>
      <c r="K880" s="145"/>
      <c r="L880" s="145"/>
      <c r="M880" s="145"/>
      <c r="N880" s="145"/>
      <c r="O880" s="145"/>
      <c r="P880" s="145"/>
      <c r="Q880" s="145"/>
      <c r="R880" s="145"/>
      <c r="S880" s="145"/>
      <c r="T880" s="145"/>
      <c r="U880" s="145"/>
      <c r="V880" s="145"/>
      <c r="W880" s="145"/>
      <c r="X880" s="145"/>
      <c r="Y880" s="145"/>
      <c r="Z880" s="145"/>
    </row>
    <row r="881" spans="1:26" ht="15.75" x14ac:dyDescent="0.25">
      <c r="A881" s="145"/>
      <c r="B881" s="145"/>
      <c r="C881" s="145"/>
      <c r="D881" s="145"/>
      <c r="E881" s="145"/>
      <c r="F881" s="145"/>
      <c r="G881" s="145"/>
      <c r="H881" s="145"/>
      <c r="I881" s="145"/>
      <c r="J881" s="145"/>
      <c r="K881" s="145"/>
      <c r="L881" s="145"/>
      <c r="M881" s="145"/>
      <c r="N881" s="145"/>
      <c r="O881" s="145"/>
      <c r="P881" s="145"/>
      <c r="Q881" s="145"/>
      <c r="R881" s="145"/>
      <c r="S881" s="145"/>
      <c r="T881" s="145"/>
      <c r="U881" s="145"/>
      <c r="V881" s="145"/>
      <c r="W881" s="145"/>
      <c r="X881" s="145"/>
      <c r="Y881" s="145"/>
      <c r="Z881" s="145"/>
    </row>
    <row r="882" spans="1:26" ht="15.75" x14ac:dyDescent="0.25">
      <c r="A882" s="145"/>
      <c r="B882" s="145"/>
      <c r="C882" s="145"/>
      <c r="D882" s="145"/>
      <c r="E882" s="145"/>
      <c r="F882" s="145"/>
      <c r="G882" s="145"/>
      <c r="H882" s="145"/>
      <c r="I882" s="145"/>
      <c r="J882" s="145"/>
      <c r="K882" s="145"/>
      <c r="L882" s="145"/>
      <c r="M882" s="145"/>
      <c r="N882" s="145"/>
      <c r="O882" s="145"/>
      <c r="P882" s="145"/>
      <c r="Q882" s="145"/>
      <c r="R882" s="145"/>
      <c r="S882" s="145"/>
      <c r="T882" s="145"/>
      <c r="U882" s="145"/>
      <c r="V882" s="145"/>
      <c r="W882" s="145"/>
      <c r="X882" s="145"/>
      <c r="Y882" s="145"/>
      <c r="Z882" s="145"/>
    </row>
    <row r="883" spans="1:26" ht="15.75" x14ac:dyDescent="0.25">
      <c r="A883" s="145"/>
      <c r="B883" s="145"/>
      <c r="C883" s="145"/>
      <c r="D883" s="145"/>
      <c r="E883" s="145"/>
      <c r="F883" s="145"/>
      <c r="G883" s="145"/>
      <c r="H883" s="145"/>
      <c r="I883" s="145"/>
      <c r="J883" s="145"/>
      <c r="K883" s="145"/>
      <c r="L883" s="145"/>
      <c r="M883" s="145"/>
      <c r="N883" s="145"/>
      <c r="O883" s="145"/>
      <c r="P883" s="145"/>
      <c r="Q883" s="145"/>
      <c r="R883" s="145"/>
      <c r="S883" s="145"/>
      <c r="T883" s="145"/>
      <c r="U883" s="145"/>
      <c r="V883" s="145"/>
      <c r="W883" s="145"/>
      <c r="X883" s="145"/>
      <c r="Y883" s="145"/>
      <c r="Z883" s="145"/>
    </row>
    <row r="884" spans="1:26" ht="15.75" x14ac:dyDescent="0.25">
      <c r="A884" s="145"/>
      <c r="B884" s="145"/>
      <c r="C884" s="145"/>
      <c r="D884" s="145"/>
      <c r="E884" s="145"/>
      <c r="F884" s="145"/>
      <c r="G884" s="145"/>
      <c r="H884" s="145"/>
      <c r="I884" s="145"/>
      <c r="J884" s="145"/>
      <c r="K884" s="145"/>
      <c r="L884" s="145"/>
      <c r="M884" s="145"/>
      <c r="N884" s="145"/>
      <c r="O884" s="145"/>
      <c r="P884" s="145"/>
      <c r="Q884" s="145"/>
      <c r="R884" s="145"/>
      <c r="S884" s="145"/>
      <c r="T884" s="145"/>
      <c r="U884" s="145"/>
      <c r="V884" s="145"/>
      <c r="W884" s="145"/>
      <c r="X884" s="145"/>
      <c r="Y884" s="145"/>
      <c r="Z884" s="145"/>
    </row>
    <row r="885" spans="1:26" ht="15.75" x14ac:dyDescent="0.25">
      <c r="A885" s="145"/>
      <c r="B885" s="145"/>
      <c r="C885" s="145"/>
      <c r="D885" s="145"/>
      <c r="E885" s="145"/>
      <c r="F885" s="145"/>
      <c r="G885" s="145"/>
      <c r="H885" s="145"/>
      <c r="I885" s="145"/>
      <c r="J885" s="145"/>
      <c r="K885" s="145"/>
      <c r="L885" s="145"/>
      <c r="M885" s="145"/>
      <c r="N885" s="145"/>
      <c r="O885" s="145"/>
      <c r="P885" s="145"/>
      <c r="Q885" s="145"/>
      <c r="R885" s="145"/>
      <c r="S885" s="145"/>
      <c r="T885" s="145"/>
      <c r="U885" s="145"/>
      <c r="V885" s="145"/>
      <c r="W885" s="145"/>
      <c r="X885" s="145"/>
      <c r="Y885" s="145"/>
      <c r="Z885" s="145"/>
    </row>
    <row r="886" spans="1:26" ht="15.75" x14ac:dyDescent="0.25">
      <c r="A886" s="145"/>
      <c r="B886" s="145"/>
      <c r="C886" s="145"/>
      <c r="D886" s="145"/>
      <c r="E886" s="145"/>
      <c r="F886" s="145"/>
      <c r="G886" s="145"/>
      <c r="H886" s="145"/>
      <c r="I886" s="145"/>
      <c r="J886" s="145"/>
      <c r="K886" s="145"/>
      <c r="L886" s="145"/>
      <c r="M886" s="145"/>
      <c r="N886" s="145"/>
      <c r="O886" s="145"/>
      <c r="P886" s="145"/>
      <c r="Q886" s="145"/>
      <c r="R886" s="145"/>
      <c r="S886" s="145"/>
      <c r="T886" s="145"/>
      <c r="U886" s="145"/>
      <c r="V886" s="145"/>
      <c r="W886" s="145"/>
      <c r="X886" s="145"/>
      <c r="Y886" s="145"/>
      <c r="Z886" s="145"/>
    </row>
    <row r="887" spans="1:26" ht="15.75" x14ac:dyDescent="0.25">
      <c r="A887" s="145"/>
      <c r="B887" s="145"/>
      <c r="C887" s="145"/>
      <c r="D887" s="145"/>
      <c r="E887" s="145"/>
      <c r="F887" s="145"/>
      <c r="G887" s="145"/>
      <c r="H887" s="145"/>
      <c r="I887" s="145"/>
      <c r="J887" s="145"/>
      <c r="K887" s="145"/>
      <c r="L887" s="145"/>
      <c r="M887" s="145"/>
      <c r="N887" s="145"/>
      <c r="O887" s="145"/>
      <c r="P887" s="145"/>
      <c r="Q887" s="145"/>
      <c r="R887" s="145"/>
      <c r="S887" s="145"/>
      <c r="T887" s="145"/>
      <c r="U887" s="145"/>
      <c r="V887" s="145"/>
      <c r="W887" s="145"/>
      <c r="X887" s="145"/>
      <c r="Y887" s="145"/>
      <c r="Z887" s="145"/>
    </row>
    <row r="888" spans="1:26" ht="15.75" x14ac:dyDescent="0.25">
      <c r="A888" s="145"/>
      <c r="B888" s="145"/>
      <c r="C888" s="145"/>
      <c r="D888" s="145"/>
      <c r="E888" s="145"/>
      <c r="F888" s="145"/>
      <c r="G888" s="145"/>
      <c r="H888" s="145"/>
      <c r="I888" s="145"/>
      <c r="J888" s="145"/>
      <c r="K888" s="145"/>
      <c r="L888" s="145"/>
      <c r="M888" s="145"/>
      <c r="N888" s="145"/>
      <c r="O888" s="145"/>
      <c r="P888" s="145"/>
      <c r="Q888" s="145"/>
      <c r="R888" s="145"/>
      <c r="S888" s="145"/>
      <c r="T888" s="145"/>
      <c r="U888" s="145"/>
      <c r="V888" s="145"/>
      <c r="W888" s="145"/>
      <c r="X888" s="145"/>
      <c r="Y888" s="145"/>
      <c r="Z888" s="145"/>
    </row>
    <row r="889" spans="1:26" ht="15.75" x14ac:dyDescent="0.25">
      <c r="A889" s="145"/>
      <c r="B889" s="145"/>
      <c r="C889" s="145"/>
      <c r="D889" s="145"/>
      <c r="E889" s="145"/>
      <c r="F889" s="145"/>
      <c r="G889" s="145"/>
      <c r="H889" s="145"/>
      <c r="I889" s="145"/>
      <c r="J889" s="145"/>
      <c r="K889" s="145"/>
      <c r="L889" s="145"/>
      <c r="M889" s="145"/>
      <c r="N889" s="145"/>
      <c r="O889" s="145"/>
      <c r="P889" s="145"/>
      <c r="Q889" s="145"/>
      <c r="R889" s="145"/>
      <c r="S889" s="145"/>
      <c r="T889" s="145"/>
      <c r="U889" s="145"/>
      <c r="V889" s="145"/>
      <c r="W889" s="145"/>
      <c r="X889" s="145"/>
      <c r="Y889" s="145"/>
      <c r="Z889" s="145"/>
    </row>
    <row r="890" spans="1:26" ht="15.75" x14ac:dyDescent="0.25">
      <c r="A890" s="145"/>
      <c r="B890" s="145"/>
      <c r="C890" s="145"/>
      <c r="D890" s="145"/>
      <c r="E890" s="145"/>
      <c r="F890" s="145"/>
      <c r="G890" s="145"/>
      <c r="H890" s="145"/>
      <c r="I890" s="145"/>
      <c r="J890" s="145"/>
      <c r="K890" s="145"/>
      <c r="L890" s="145"/>
      <c r="M890" s="145"/>
      <c r="N890" s="145"/>
      <c r="O890" s="145"/>
      <c r="P890" s="145"/>
      <c r="Q890" s="145"/>
      <c r="R890" s="145"/>
      <c r="S890" s="145"/>
      <c r="T890" s="145"/>
      <c r="U890" s="145"/>
      <c r="V890" s="145"/>
      <c r="W890" s="145"/>
      <c r="X890" s="145"/>
      <c r="Y890" s="145"/>
      <c r="Z890" s="145"/>
    </row>
    <row r="891" spans="1:26" ht="15.75" x14ac:dyDescent="0.25">
      <c r="A891" s="145"/>
      <c r="B891" s="145"/>
      <c r="C891" s="145"/>
      <c r="D891" s="145"/>
      <c r="E891" s="145"/>
      <c r="F891" s="145"/>
      <c r="G891" s="145"/>
      <c r="H891" s="145"/>
      <c r="I891" s="145"/>
      <c r="J891" s="145"/>
      <c r="K891" s="145"/>
      <c r="L891" s="145"/>
      <c r="M891" s="145"/>
      <c r="N891" s="145"/>
      <c r="O891" s="145"/>
      <c r="P891" s="145"/>
      <c r="Q891" s="145"/>
      <c r="R891" s="145"/>
      <c r="S891" s="145"/>
      <c r="T891" s="145"/>
      <c r="U891" s="145"/>
      <c r="V891" s="145"/>
      <c r="W891" s="145"/>
      <c r="X891" s="145"/>
      <c r="Y891" s="145"/>
      <c r="Z891" s="145"/>
    </row>
    <row r="892" spans="1:26" ht="15.75" x14ac:dyDescent="0.25">
      <c r="A892" s="145"/>
      <c r="B892" s="145"/>
      <c r="C892" s="145"/>
      <c r="D892" s="145"/>
      <c r="E892" s="145"/>
      <c r="F892" s="145"/>
      <c r="G892" s="145"/>
      <c r="H892" s="145"/>
      <c r="I892" s="145"/>
      <c r="J892" s="145"/>
      <c r="K892" s="145"/>
      <c r="L892" s="145"/>
      <c r="M892" s="145"/>
      <c r="N892" s="145"/>
      <c r="O892" s="145"/>
      <c r="P892" s="145"/>
      <c r="Q892" s="145"/>
      <c r="R892" s="145"/>
      <c r="S892" s="145"/>
      <c r="T892" s="145"/>
      <c r="U892" s="145"/>
      <c r="V892" s="145"/>
      <c r="W892" s="145"/>
      <c r="X892" s="145"/>
      <c r="Y892" s="145"/>
      <c r="Z892" s="145"/>
    </row>
    <row r="893" spans="1:26" ht="15.75" x14ac:dyDescent="0.25">
      <c r="A893" s="145"/>
      <c r="B893" s="145"/>
      <c r="C893" s="145"/>
      <c r="D893" s="145"/>
      <c r="E893" s="145"/>
      <c r="F893" s="145"/>
      <c r="G893" s="145"/>
      <c r="H893" s="145"/>
      <c r="I893" s="145"/>
      <c r="J893" s="145"/>
      <c r="K893" s="145"/>
      <c r="L893" s="145"/>
      <c r="M893" s="145"/>
      <c r="N893" s="145"/>
      <c r="O893" s="145"/>
      <c r="P893" s="145"/>
      <c r="Q893" s="145"/>
      <c r="R893" s="145"/>
      <c r="S893" s="145"/>
      <c r="T893" s="145"/>
      <c r="U893" s="145"/>
      <c r="V893" s="145"/>
      <c r="W893" s="145"/>
      <c r="X893" s="145"/>
      <c r="Y893" s="145"/>
      <c r="Z893" s="145"/>
    </row>
    <row r="894" spans="1:26" ht="15.75" x14ac:dyDescent="0.25">
      <c r="A894" s="145"/>
      <c r="B894" s="145"/>
      <c r="C894" s="145"/>
      <c r="D894" s="145"/>
      <c r="E894" s="145"/>
      <c r="F894" s="145"/>
      <c r="G894" s="145"/>
      <c r="H894" s="145"/>
      <c r="I894" s="145"/>
      <c r="J894" s="145"/>
      <c r="K894" s="145"/>
      <c r="L894" s="145"/>
      <c r="M894" s="145"/>
      <c r="N894" s="145"/>
      <c r="O894" s="145"/>
      <c r="P894" s="145"/>
      <c r="Q894" s="145"/>
      <c r="R894" s="145"/>
      <c r="S894" s="145"/>
      <c r="T894" s="145"/>
      <c r="U894" s="145"/>
      <c r="V894" s="145"/>
      <c r="W894" s="145"/>
      <c r="X894" s="145"/>
      <c r="Y894" s="145"/>
      <c r="Z894" s="145"/>
    </row>
    <row r="895" spans="1:26" ht="15.75" x14ac:dyDescent="0.25">
      <c r="A895" s="145"/>
      <c r="B895" s="145"/>
      <c r="C895" s="145"/>
      <c r="D895" s="145"/>
      <c r="E895" s="145"/>
      <c r="F895" s="145"/>
      <c r="G895" s="145"/>
      <c r="H895" s="145"/>
      <c r="I895" s="145"/>
      <c r="J895" s="145"/>
      <c r="K895" s="145"/>
      <c r="L895" s="145"/>
      <c r="M895" s="145"/>
      <c r="N895" s="145"/>
      <c r="O895" s="145"/>
      <c r="P895" s="145"/>
      <c r="Q895" s="145"/>
      <c r="R895" s="145"/>
      <c r="S895" s="145"/>
      <c r="T895" s="145"/>
      <c r="U895" s="145"/>
      <c r="V895" s="145"/>
      <c r="W895" s="145"/>
      <c r="X895" s="145"/>
      <c r="Y895" s="145"/>
      <c r="Z895" s="145"/>
    </row>
    <row r="896" spans="1:26" ht="15.75" x14ac:dyDescent="0.25">
      <c r="A896" s="145"/>
      <c r="B896" s="145"/>
      <c r="C896" s="145"/>
      <c r="D896" s="145"/>
      <c r="E896" s="145"/>
      <c r="F896" s="145"/>
      <c r="G896" s="145"/>
      <c r="H896" s="145"/>
      <c r="I896" s="145"/>
      <c r="J896" s="145"/>
      <c r="K896" s="145"/>
      <c r="L896" s="145"/>
      <c r="M896" s="145"/>
      <c r="N896" s="145"/>
      <c r="O896" s="145"/>
      <c r="P896" s="145"/>
      <c r="Q896" s="145"/>
      <c r="R896" s="145"/>
      <c r="S896" s="145"/>
      <c r="T896" s="145"/>
      <c r="U896" s="145"/>
      <c r="V896" s="145"/>
      <c r="W896" s="145"/>
      <c r="X896" s="145"/>
      <c r="Y896" s="145"/>
      <c r="Z896" s="145"/>
    </row>
    <row r="897" spans="1:26" ht="15.75" x14ac:dyDescent="0.25">
      <c r="A897" s="145"/>
      <c r="B897" s="145"/>
      <c r="C897" s="145"/>
      <c r="D897" s="145"/>
      <c r="E897" s="145"/>
      <c r="F897" s="145"/>
      <c r="G897" s="145"/>
      <c r="H897" s="145"/>
      <c r="I897" s="145"/>
      <c r="J897" s="145"/>
      <c r="K897" s="145"/>
      <c r="L897" s="145"/>
      <c r="M897" s="145"/>
      <c r="N897" s="145"/>
      <c r="O897" s="145"/>
      <c r="P897" s="145"/>
      <c r="Q897" s="145"/>
      <c r="R897" s="145"/>
      <c r="S897" s="145"/>
      <c r="T897" s="145"/>
      <c r="U897" s="145"/>
      <c r="V897" s="145"/>
      <c r="W897" s="145"/>
      <c r="X897" s="145"/>
      <c r="Y897" s="145"/>
      <c r="Z897" s="145"/>
    </row>
    <row r="898" spans="1:26" ht="15.75" x14ac:dyDescent="0.25">
      <c r="A898" s="145"/>
      <c r="B898" s="145"/>
      <c r="C898" s="145"/>
      <c r="D898" s="145"/>
      <c r="E898" s="145"/>
      <c r="F898" s="145"/>
      <c r="G898" s="145"/>
      <c r="H898" s="145"/>
      <c r="I898" s="145"/>
      <c r="J898" s="145"/>
      <c r="K898" s="145"/>
      <c r="L898" s="145"/>
      <c r="M898" s="145"/>
      <c r="N898" s="145"/>
      <c r="O898" s="145"/>
      <c r="P898" s="145"/>
      <c r="Q898" s="145"/>
      <c r="R898" s="145"/>
      <c r="S898" s="145"/>
      <c r="T898" s="145"/>
      <c r="U898" s="145"/>
      <c r="V898" s="145"/>
      <c r="W898" s="145"/>
      <c r="X898" s="145"/>
      <c r="Y898" s="145"/>
      <c r="Z898" s="145"/>
    </row>
    <row r="899" spans="1:26" ht="15.75" x14ac:dyDescent="0.25">
      <c r="A899" s="145"/>
      <c r="B899" s="145"/>
      <c r="C899" s="145"/>
      <c r="D899" s="145"/>
      <c r="E899" s="145"/>
      <c r="F899" s="145"/>
      <c r="G899" s="145"/>
      <c r="H899" s="145"/>
      <c r="I899" s="145"/>
      <c r="J899" s="145"/>
      <c r="K899" s="145"/>
      <c r="L899" s="145"/>
      <c r="M899" s="145"/>
      <c r="N899" s="145"/>
      <c r="O899" s="145"/>
      <c r="P899" s="145"/>
      <c r="Q899" s="145"/>
      <c r="R899" s="145"/>
      <c r="S899" s="145"/>
      <c r="T899" s="145"/>
      <c r="U899" s="145"/>
      <c r="V899" s="145"/>
      <c r="W899" s="145"/>
      <c r="X899" s="145"/>
      <c r="Y899" s="145"/>
      <c r="Z899" s="145"/>
    </row>
    <row r="900" spans="1:26" ht="15.75" x14ac:dyDescent="0.25">
      <c r="A900" s="145"/>
      <c r="B900" s="145"/>
      <c r="C900" s="145"/>
      <c r="D900" s="145"/>
      <c r="E900" s="145"/>
      <c r="F900" s="145"/>
      <c r="G900" s="145"/>
      <c r="H900" s="145"/>
      <c r="I900" s="145"/>
      <c r="J900" s="145"/>
      <c r="K900" s="145"/>
      <c r="L900" s="145"/>
      <c r="M900" s="145"/>
      <c r="N900" s="145"/>
      <c r="O900" s="145"/>
      <c r="P900" s="145"/>
      <c r="Q900" s="145"/>
      <c r="R900" s="145"/>
      <c r="S900" s="145"/>
      <c r="T900" s="145"/>
      <c r="U900" s="145"/>
      <c r="V900" s="145"/>
      <c r="W900" s="145"/>
      <c r="X900" s="145"/>
      <c r="Y900" s="145"/>
      <c r="Z900" s="145"/>
    </row>
    <row r="901" spans="1:26" ht="15.75" x14ac:dyDescent="0.25">
      <c r="A901" s="145"/>
      <c r="B901" s="145"/>
      <c r="C901" s="145"/>
      <c r="D901" s="145"/>
      <c r="E901" s="145"/>
      <c r="F901" s="145"/>
      <c r="G901" s="145"/>
      <c r="H901" s="145"/>
      <c r="I901" s="145"/>
      <c r="J901" s="145"/>
      <c r="K901" s="145"/>
      <c r="L901" s="145"/>
      <c r="M901" s="145"/>
      <c r="N901" s="145"/>
      <c r="O901" s="145"/>
      <c r="P901" s="145"/>
      <c r="Q901" s="145"/>
      <c r="R901" s="145"/>
      <c r="S901" s="145"/>
      <c r="T901" s="145"/>
      <c r="U901" s="145"/>
      <c r="V901" s="145"/>
      <c r="W901" s="145"/>
      <c r="X901" s="145"/>
      <c r="Y901" s="145"/>
      <c r="Z901" s="145"/>
    </row>
    <row r="902" spans="1:26" ht="15.75" x14ac:dyDescent="0.25">
      <c r="A902" s="145"/>
      <c r="B902" s="145"/>
      <c r="C902" s="145"/>
      <c r="D902" s="145"/>
      <c r="E902" s="145"/>
      <c r="F902" s="145"/>
      <c r="G902" s="145"/>
      <c r="H902" s="145"/>
      <c r="I902" s="145"/>
      <c r="J902" s="145"/>
      <c r="K902" s="145"/>
      <c r="L902" s="145"/>
      <c r="M902" s="145"/>
      <c r="N902" s="145"/>
      <c r="O902" s="145"/>
      <c r="P902" s="145"/>
      <c r="Q902" s="145"/>
      <c r="R902" s="145"/>
      <c r="S902" s="145"/>
      <c r="T902" s="145"/>
      <c r="U902" s="145"/>
      <c r="V902" s="145"/>
      <c r="W902" s="145"/>
      <c r="X902" s="145"/>
      <c r="Y902" s="145"/>
      <c r="Z902" s="145"/>
    </row>
    <row r="903" spans="1:26" ht="15.75" x14ac:dyDescent="0.25">
      <c r="A903" s="145"/>
      <c r="B903" s="145"/>
      <c r="C903" s="145"/>
      <c r="D903" s="145"/>
      <c r="E903" s="145"/>
      <c r="F903" s="145"/>
      <c r="G903" s="145"/>
      <c r="H903" s="145"/>
      <c r="I903" s="145"/>
      <c r="J903" s="145"/>
      <c r="K903" s="145"/>
      <c r="L903" s="145"/>
      <c r="M903" s="145"/>
      <c r="N903" s="145"/>
      <c r="O903" s="145"/>
      <c r="P903" s="145"/>
      <c r="Q903" s="145"/>
      <c r="R903" s="145"/>
      <c r="S903" s="145"/>
      <c r="T903" s="145"/>
      <c r="U903" s="145"/>
      <c r="V903" s="145"/>
      <c r="W903" s="145"/>
      <c r="X903" s="145"/>
      <c r="Y903" s="145"/>
      <c r="Z903" s="145"/>
    </row>
    <row r="904" spans="1:26" ht="15.75" x14ac:dyDescent="0.25">
      <c r="A904" s="145"/>
      <c r="B904" s="145"/>
      <c r="C904" s="145"/>
      <c r="D904" s="145"/>
      <c r="E904" s="145"/>
      <c r="F904" s="145"/>
      <c r="G904" s="145"/>
      <c r="H904" s="145"/>
      <c r="I904" s="145"/>
      <c r="J904" s="145"/>
      <c r="K904" s="145"/>
      <c r="L904" s="145"/>
      <c r="M904" s="145"/>
      <c r="N904" s="145"/>
      <c r="O904" s="145"/>
      <c r="P904" s="145"/>
      <c r="Q904" s="145"/>
      <c r="R904" s="145"/>
      <c r="S904" s="145"/>
      <c r="T904" s="145"/>
      <c r="U904" s="145"/>
      <c r="V904" s="145"/>
      <c r="W904" s="145"/>
      <c r="X904" s="145"/>
      <c r="Y904" s="145"/>
      <c r="Z904" s="145"/>
    </row>
    <row r="905" spans="1:26" ht="15.75" x14ac:dyDescent="0.25">
      <c r="A905" s="145"/>
      <c r="B905" s="145"/>
      <c r="C905" s="145"/>
      <c r="D905" s="145"/>
      <c r="E905" s="145"/>
      <c r="F905" s="145"/>
      <c r="G905" s="145"/>
      <c r="H905" s="145"/>
      <c r="I905" s="145"/>
      <c r="J905" s="145"/>
      <c r="K905" s="145"/>
      <c r="L905" s="145"/>
      <c r="M905" s="145"/>
      <c r="N905" s="145"/>
      <c r="O905" s="145"/>
      <c r="P905" s="145"/>
      <c r="Q905" s="145"/>
      <c r="R905" s="145"/>
      <c r="S905" s="145"/>
      <c r="T905" s="145"/>
      <c r="U905" s="145"/>
      <c r="V905" s="145"/>
      <c r="W905" s="145"/>
      <c r="X905" s="145"/>
      <c r="Y905" s="145"/>
      <c r="Z905" s="145"/>
    </row>
    <row r="906" spans="1:26" ht="15.75" x14ac:dyDescent="0.25">
      <c r="A906" s="145"/>
      <c r="B906" s="145"/>
      <c r="C906" s="145"/>
      <c r="D906" s="145"/>
      <c r="E906" s="145"/>
      <c r="F906" s="145"/>
      <c r="G906" s="145"/>
      <c r="H906" s="145"/>
      <c r="I906" s="145"/>
      <c r="J906" s="145"/>
      <c r="K906" s="145"/>
      <c r="L906" s="145"/>
      <c r="M906" s="145"/>
      <c r="N906" s="145"/>
      <c r="O906" s="145"/>
      <c r="P906" s="145"/>
      <c r="Q906" s="145"/>
      <c r="R906" s="145"/>
      <c r="S906" s="145"/>
      <c r="T906" s="145"/>
      <c r="U906" s="145"/>
      <c r="V906" s="145"/>
      <c r="W906" s="145"/>
      <c r="X906" s="145"/>
      <c r="Y906" s="145"/>
      <c r="Z906" s="145"/>
    </row>
    <row r="907" spans="1:26" ht="15.75" x14ac:dyDescent="0.25">
      <c r="A907" s="145"/>
      <c r="B907" s="145"/>
      <c r="C907" s="145"/>
      <c r="D907" s="145"/>
      <c r="E907" s="145"/>
      <c r="F907" s="145"/>
      <c r="G907" s="145"/>
      <c r="H907" s="145"/>
      <c r="I907" s="145"/>
      <c r="J907" s="145"/>
      <c r="K907" s="145"/>
      <c r="L907" s="145"/>
      <c r="M907" s="145"/>
      <c r="N907" s="145"/>
      <c r="O907" s="145"/>
      <c r="P907" s="145"/>
      <c r="Q907" s="145"/>
      <c r="R907" s="145"/>
      <c r="S907" s="145"/>
      <c r="T907" s="145"/>
      <c r="U907" s="145"/>
      <c r="V907" s="145"/>
      <c r="W907" s="145"/>
      <c r="X907" s="145"/>
      <c r="Y907" s="145"/>
      <c r="Z907" s="145"/>
    </row>
    <row r="908" spans="1:26" ht="15.75" x14ac:dyDescent="0.25">
      <c r="A908" s="145"/>
      <c r="B908" s="145"/>
      <c r="C908" s="145"/>
      <c r="D908" s="145"/>
      <c r="E908" s="145"/>
      <c r="F908" s="145"/>
      <c r="G908" s="145"/>
      <c r="H908" s="145"/>
      <c r="I908" s="145"/>
      <c r="J908" s="145"/>
      <c r="K908" s="145"/>
      <c r="L908" s="145"/>
      <c r="M908" s="145"/>
      <c r="N908" s="145"/>
      <c r="O908" s="145"/>
      <c r="P908" s="145"/>
      <c r="Q908" s="145"/>
      <c r="R908" s="145"/>
      <c r="S908" s="145"/>
      <c r="T908" s="145"/>
      <c r="U908" s="145"/>
      <c r="V908" s="145"/>
      <c r="W908" s="145"/>
      <c r="X908" s="145"/>
      <c r="Y908" s="145"/>
      <c r="Z908" s="145"/>
    </row>
    <row r="909" spans="1:26" ht="15.75" x14ac:dyDescent="0.25">
      <c r="A909" s="145"/>
      <c r="B909" s="145"/>
      <c r="C909" s="145"/>
      <c r="D909" s="145"/>
      <c r="E909" s="145"/>
      <c r="F909" s="145"/>
      <c r="G909" s="145"/>
      <c r="H909" s="145"/>
      <c r="I909" s="145"/>
      <c r="J909" s="145"/>
      <c r="K909" s="145"/>
      <c r="L909" s="145"/>
      <c r="M909" s="145"/>
      <c r="N909" s="145"/>
      <c r="O909" s="145"/>
      <c r="P909" s="145"/>
      <c r="Q909" s="145"/>
      <c r="R909" s="145"/>
      <c r="S909" s="145"/>
      <c r="T909" s="145"/>
      <c r="U909" s="145"/>
      <c r="V909" s="145"/>
      <c r="W909" s="145"/>
      <c r="X909" s="145"/>
      <c r="Y909" s="145"/>
      <c r="Z909" s="145"/>
    </row>
    <row r="910" spans="1:26" ht="15.75" x14ac:dyDescent="0.25">
      <c r="A910" s="145"/>
      <c r="B910" s="145"/>
      <c r="C910" s="145"/>
      <c r="D910" s="145"/>
      <c r="E910" s="145"/>
      <c r="F910" s="145"/>
      <c r="G910" s="145"/>
      <c r="H910" s="145"/>
      <c r="I910" s="145"/>
      <c r="J910" s="145"/>
      <c r="K910" s="145"/>
      <c r="L910" s="145"/>
      <c r="M910" s="145"/>
      <c r="N910" s="145"/>
      <c r="O910" s="145"/>
      <c r="P910" s="145"/>
      <c r="Q910" s="145"/>
      <c r="R910" s="145"/>
      <c r="S910" s="145"/>
      <c r="T910" s="145"/>
      <c r="U910" s="145"/>
      <c r="V910" s="145"/>
      <c r="W910" s="145"/>
      <c r="X910" s="145"/>
      <c r="Y910" s="145"/>
      <c r="Z910" s="145"/>
    </row>
    <row r="911" spans="1:26" ht="15.75" x14ac:dyDescent="0.25">
      <c r="A911" s="145"/>
      <c r="B911" s="145"/>
      <c r="C911" s="145"/>
      <c r="D911" s="145"/>
      <c r="E911" s="145"/>
      <c r="F911" s="145"/>
      <c r="G911" s="145"/>
      <c r="H911" s="145"/>
      <c r="I911" s="145"/>
      <c r="J911" s="145"/>
      <c r="K911" s="145"/>
      <c r="L911" s="145"/>
      <c r="M911" s="145"/>
      <c r="N911" s="145"/>
      <c r="O911" s="145"/>
      <c r="P911" s="145"/>
      <c r="Q911" s="145"/>
      <c r="R911" s="145"/>
      <c r="S911" s="145"/>
      <c r="T911" s="145"/>
      <c r="U911" s="145"/>
      <c r="V911" s="145"/>
      <c r="W911" s="145"/>
      <c r="X911" s="145"/>
      <c r="Y911" s="145"/>
      <c r="Z911" s="145"/>
    </row>
    <row r="912" spans="1:26" ht="15.75" x14ac:dyDescent="0.25">
      <c r="A912" s="145"/>
      <c r="B912" s="145"/>
      <c r="C912" s="145"/>
      <c r="D912" s="145"/>
      <c r="E912" s="145"/>
      <c r="F912" s="145"/>
      <c r="G912" s="145"/>
      <c r="H912" s="145"/>
      <c r="I912" s="145"/>
      <c r="J912" s="145"/>
      <c r="K912" s="145"/>
      <c r="L912" s="145"/>
      <c r="M912" s="145"/>
      <c r="N912" s="145"/>
      <c r="O912" s="145"/>
      <c r="P912" s="145"/>
      <c r="Q912" s="145"/>
      <c r="R912" s="145"/>
      <c r="S912" s="145"/>
      <c r="T912" s="145"/>
      <c r="U912" s="145"/>
      <c r="V912" s="145"/>
      <c r="W912" s="145"/>
      <c r="X912" s="145"/>
      <c r="Y912" s="145"/>
      <c r="Z912" s="145"/>
    </row>
    <row r="913" spans="1:26" ht="15.75" x14ac:dyDescent="0.25">
      <c r="A913" s="145"/>
      <c r="B913" s="145"/>
      <c r="C913" s="145"/>
      <c r="D913" s="145"/>
      <c r="E913" s="145"/>
      <c r="F913" s="145"/>
      <c r="G913" s="145"/>
      <c r="H913" s="145"/>
      <c r="I913" s="145"/>
      <c r="J913" s="145"/>
      <c r="K913" s="145"/>
      <c r="L913" s="145"/>
      <c r="M913" s="145"/>
      <c r="N913" s="145"/>
      <c r="O913" s="145"/>
      <c r="P913" s="145"/>
      <c r="Q913" s="145"/>
      <c r="R913" s="145"/>
      <c r="S913" s="145"/>
      <c r="T913" s="145"/>
      <c r="U913" s="145"/>
      <c r="V913" s="145"/>
      <c r="W913" s="145"/>
      <c r="X913" s="145"/>
      <c r="Y913" s="145"/>
      <c r="Z913" s="145"/>
    </row>
    <row r="914" spans="1:26" ht="15.75" x14ac:dyDescent="0.25">
      <c r="A914" s="145"/>
      <c r="B914" s="145"/>
      <c r="C914" s="145"/>
      <c r="D914" s="145"/>
      <c r="E914" s="145"/>
      <c r="F914" s="145"/>
      <c r="G914" s="145"/>
      <c r="H914" s="145"/>
      <c r="I914" s="145"/>
      <c r="J914" s="145"/>
      <c r="K914" s="145"/>
      <c r="L914" s="145"/>
      <c r="M914" s="145"/>
      <c r="N914" s="145"/>
      <c r="O914" s="145"/>
      <c r="P914" s="145"/>
      <c r="Q914" s="145"/>
      <c r="R914" s="145"/>
      <c r="S914" s="145"/>
      <c r="T914" s="145"/>
      <c r="U914" s="145"/>
      <c r="V914" s="145"/>
      <c r="W914" s="145"/>
      <c r="X914" s="145"/>
      <c r="Y914" s="145"/>
      <c r="Z914" s="145"/>
    </row>
    <row r="915" spans="1:26" ht="15.75" x14ac:dyDescent="0.25">
      <c r="A915" s="145"/>
      <c r="B915" s="145"/>
      <c r="C915" s="145"/>
      <c r="D915" s="145"/>
      <c r="E915" s="145"/>
      <c r="F915" s="145"/>
      <c r="G915" s="145"/>
      <c r="H915" s="145"/>
      <c r="I915" s="145"/>
      <c r="J915" s="145"/>
      <c r="K915" s="145"/>
      <c r="L915" s="145"/>
      <c r="M915" s="145"/>
      <c r="N915" s="145"/>
      <c r="O915" s="145"/>
      <c r="P915" s="145"/>
      <c r="Q915" s="145"/>
      <c r="R915" s="145"/>
      <c r="S915" s="145"/>
      <c r="T915" s="145"/>
      <c r="U915" s="145"/>
      <c r="V915" s="145"/>
      <c r="W915" s="145"/>
      <c r="X915" s="145"/>
      <c r="Y915" s="145"/>
      <c r="Z915" s="145"/>
    </row>
    <row r="916" spans="1:26" ht="15.75" x14ac:dyDescent="0.25">
      <c r="A916" s="145"/>
      <c r="B916" s="145"/>
      <c r="C916" s="145"/>
      <c r="D916" s="145"/>
      <c r="E916" s="145"/>
      <c r="F916" s="145"/>
      <c r="G916" s="145"/>
      <c r="H916" s="145"/>
      <c r="I916" s="145"/>
      <c r="J916" s="145"/>
      <c r="K916" s="145"/>
      <c r="L916" s="145"/>
      <c r="M916" s="145"/>
      <c r="N916" s="145"/>
      <c r="O916" s="145"/>
      <c r="P916" s="145"/>
      <c r="Q916" s="145"/>
      <c r="R916" s="145"/>
      <c r="S916" s="145"/>
      <c r="T916" s="145"/>
      <c r="U916" s="145"/>
      <c r="V916" s="145"/>
      <c r="W916" s="145"/>
      <c r="X916" s="145"/>
      <c r="Y916" s="145"/>
      <c r="Z916" s="145"/>
    </row>
    <row r="917" spans="1:26" ht="15.75" x14ac:dyDescent="0.25">
      <c r="A917" s="145"/>
      <c r="B917" s="145"/>
      <c r="C917" s="145"/>
      <c r="D917" s="145"/>
      <c r="E917" s="145"/>
      <c r="F917" s="145"/>
      <c r="G917" s="145"/>
      <c r="H917" s="145"/>
      <c r="I917" s="145"/>
      <c r="J917" s="145"/>
      <c r="K917" s="145"/>
      <c r="L917" s="145"/>
      <c r="M917" s="145"/>
      <c r="N917" s="145"/>
      <c r="O917" s="145"/>
      <c r="P917" s="145"/>
      <c r="Q917" s="145"/>
      <c r="R917" s="145"/>
      <c r="S917" s="145"/>
      <c r="T917" s="145"/>
      <c r="U917" s="145"/>
      <c r="V917" s="145"/>
      <c r="W917" s="145"/>
      <c r="X917" s="145"/>
      <c r="Y917" s="145"/>
      <c r="Z917" s="145"/>
    </row>
    <row r="918" spans="1:26" ht="15.75" x14ac:dyDescent="0.25">
      <c r="A918" s="145"/>
      <c r="B918" s="145"/>
      <c r="C918" s="145"/>
      <c r="D918" s="145"/>
      <c r="E918" s="145"/>
      <c r="F918" s="145"/>
      <c r="G918" s="145"/>
      <c r="H918" s="145"/>
      <c r="I918" s="145"/>
      <c r="J918" s="145"/>
      <c r="K918" s="145"/>
      <c r="L918" s="145"/>
      <c r="M918" s="145"/>
      <c r="N918" s="145"/>
      <c r="O918" s="145"/>
      <c r="P918" s="145"/>
      <c r="Q918" s="145"/>
      <c r="R918" s="145"/>
      <c r="S918" s="145"/>
      <c r="T918" s="145"/>
      <c r="U918" s="145"/>
      <c r="V918" s="145"/>
      <c r="W918" s="145"/>
      <c r="X918" s="145"/>
      <c r="Y918" s="145"/>
      <c r="Z918" s="145"/>
    </row>
    <row r="919" spans="1:26" ht="15.75" x14ac:dyDescent="0.25">
      <c r="A919" s="145"/>
      <c r="B919" s="145"/>
      <c r="C919" s="145"/>
      <c r="D919" s="145"/>
      <c r="E919" s="145"/>
      <c r="F919" s="145"/>
      <c r="G919" s="145"/>
      <c r="H919" s="145"/>
      <c r="I919" s="145"/>
      <c r="J919" s="145"/>
      <c r="K919" s="145"/>
      <c r="L919" s="145"/>
      <c r="M919" s="145"/>
      <c r="N919" s="145"/>
      <c r="O919" s="145"/>
      <c r="P919" s="145"/>
      <c r="Q919" s="145"/>
      <c r="R919" s="145"/>
      <c r="S919" s="145"/>
      <c r="T919" s="145"/>
      <c r="U919" s="145"/>
      <c r="V919" s="145"/>
      <c r="W919" s="145"/>
      <c r="X919" s="145"/>
      <c r="Y919" s="145"/>
      <c r="Z919" s="145"/>
    </row>
    <row r="920" spans="1:26" ht="15.75" x14ac:dyDescent="0.25">
      <c r="A920" s="145"/>
      <c r="B920" s="145"/>
      <c r="C920" s="145"/>
      <c r="D920" s="145"/>
      <c r="E920" s="145"/>
      <c r="F920" s="145"/>
      <c r="G920" s="145"/>
      <c r="H920" s="145"/>
      <c r="I920" s="145"/>
      <c r="J920" s="145"/>
      <c r="K920" s="145"/>
      <c r="L920" s="145"/>
      <c r="M920" s="145"/>
      <c r="N920" s="145"/>
      <c r="O920" s="145"/>
      <c r="P920" s="145"/>
      <c r="Q920" s="145"/>
      <c r="R920" s="145"/>
      <c r="S920" s="145"/>
      <c r="T920" s="145"/>
      <c r="U920" s="145"/>
      <c r="V920" s="145"/>
      <c r="W920" s="145"/>
      <c r="X920" s="145"/>
      <c r="Y920" s="145"/>
      <c r="Z920" s="145"/>
    </row>
    <row r="921" spans="1:26" ht="15.75" x14ac:dyDescent="0.25">
      <c r="A921" s="145"/>
      <c r="B921" s="145"/>
      <c r="C921" s="145"/>
      <c r="D921" s="145"/>
      <c r="E921" s="145"/>
      <c r="F921" s="145"/>
      <c r="G921" s="145"/>
      <c r="H921" s="145"/>
      <c r="I921" s="145"/>
      <c r="J921" s="145"/>
      <c r="K921" s="145"/>
      <c r="L921" s="145"/>
      <c r="M921" s="145"/>
      <c r="N921" s="145"/>
      <c r="O921" s="145"/>
      <c r="P921" s="145"/>
      <c r="Q921" s="145"/>
      <c r="R921" s="145"/>
      <c r="S921" s="145"/>
      <c r="T921" s="145"/>
      <c r="U921" s="145"/>
      <c r="V921" s="145"/>
      <c r="W921" s="145"/>
      <c r="X921" s="145"/>
      <c r="Y921" s="145"/>
      <c r="Z921" s="145"/>
    </row>
    <row r="922" spans="1:26" ht="15.75" x14ac:dyDescent="0.25">
      <c r="A922" s="145"/>
      <c r="B922" s="145"/>
      <c r="C922" s="145"/>
      <c r="D922" s="145"/>
      <c r="E922" s="145"/>
      <c r="F922" s="145"/>
      <c r="G922" s="145"/>
      <c r="H922" s="145"/>
      <c r="I922" s="145"/>
      <c r="J922" s="145"/>
      <c r="K922" s="145"/>
      <c r="L922" s="145"/>
      <c r="M922" s="145"/>
      <c r="N922" s="145"/>
      <c r="O922" s="145"/>
      <c r="P922" s="145"/>
      <c r="Q922" s="145"/>
      <c r="R922" s="145"/>
      <c r="S922" s="145"/>
      <c r="T922" s="145"/>
      <c r="U922" s="145"/>
      <c r="V922" s="145"/>
      <c r="W922" s="145"/>
      <c r="X922" s="145"/>
      <c r="Y922" s="145"/>
      <c r="Z922" s="145"/>
    </row>
    <row r="923" spans="1:26" ht="15.75" x14ac:dyDescent="0.25">
      <c r="A923" s="145"/>
      <c r="B923" s="145"/>
      <c r="C923" s="145"/>
      <c r="D923" s="145"/>
      <c r="E923" s="145"/>
      <c r="F923" s="145"/>
      <c r="G923" s="145"/>
      <c r="H923" s="145"/>
      <c r="I923" s="145"/>
      <c r="J923" s="145"/>
      <c r="K923" s="145"/>
      <c r="L923" s="145"/>
      <c r="M923" s="145"/>
      <c r="N923" s="145"/>
      <c r="O923" s="145"/>
      <c r="P923" s="145"/>
      <c r="Q923" s="145"/>
      <c r="R923" s="145"/>
      <c r="S923" s="145"/>
      <c r="T923" s="145"/>
      <c r="U923" s="145"/>
      <c r="V923" s="145"/>
      <c r="W923" s="145"/>
      <c r="X923" s="145"/>
      <c r="Y923" s="145"/>
      <c r="Z923" s="145"/>
    </row>
    <row r="924" spans="1:26" ht="15.75" x14ac:dyDescent="0.25">
      <c r="A924" s="145"/>
      <c r="B924" s="145"/>
      <c r="C924" s="145"/>
      <c r="D924" s="145"/>
      <c r="E924" s="145"/>
      <c r="F924" s="145"/>
      <c r="G924" s="145"/>
      <c r="H924" s="145"/>
      <c r="I924" s="145"/>
      <c r="J924" s="145"/>
      <c r="K924" s="145"/>
      <c r="L924" s="145"/>
      <c r="M924" s="145"/>
      <c r="N924" s="145"/>
      <c r="O924" s="145"/>
      <c r="P924" s="145"/>
      <c r="Q924" s="145"/>
      <c r="R924" s="145"/>
      <c r="S924" s="145"/>
      <c r="T924" s="145"/>
      <c r="U924" s="145"/>
      <c r="V924" s="145"/>
      <c r="W924" s="145"/>
      <c r="X924" s="145"/>
      <c r="Y924" s="145"/>
      <c r="Z924" s="145"/>
    </row>
    <row r="925" spans="1:26" ht="15.75" x14ac:dyDescent="0.25">
      <c r="A925" s="145"/>
      <c r="B925" s="145"/>
      <c r="C925" s="145"/>
      <c r="D925" s="145"/>
      <c r="E925" s="145"/>
      <c r="F925" s="145"/>
      <c r="G925" s="145"/>
      <c r="H925" s="145"/>
      <c r="I925" s="145"/>
      <c r="J925" s="145"/>
      <c r="K925" s="145"/>
      <c r="L925" s="145"/>
      <c r="M925" s="145"/>
      <c r="N925" s="145"/>
      <c r="O925" s="145"/>
      <c r="P925" s="145"/>
      <c r="Q925" s="145"/>
      <c r="R925" s="145"/>
      <c r="S925" s="145"/>
      <c r="T925" s="145"/>
      <c r="U925" s="145"/>
      <c r="V925" s="145"/>
      <c r="W925" s="145"/>
      <c r="X925" s="145"/>
      <c r="Y925" s="145"/>
      <c r="Z925" s="145"/>
    </row>
    <row r="926" spans="1:26" ht="15.75" x14ac:dyDescent="0.25">
      <c r="A926" s="145"/>
      <c r="B926" s="145"/>
      <c r="C926" s="145"/>
      <c r="D926" s="145"/>
      <c r="E926" s="145"/>
      <c r="F926" s="145"/>
      <c r="G926" s="145"/>
      <c r="H926" s="145"/>
      <c r="I926" s="145"/>
      <c r="J926" s="145"/>
      <c r="K926" s="145"/>
      <c r="L926" s="145"/>
      <c r="M926" s="145"/>
      <c r="N926" s="145"/>
      <c r="O926" s="145"/>
      <c r="P926" s="145"/>
      <c r="Q926" s="145"/>
      <c r="R926" s="145"/>
      <c r="S926" s="145"/>
      <c r="T926" s="145"/>
      <c r="U926" s="145"/>
      <c r="V926" s="145"/>
      <c r="W926" s="145"/>
      <c r="X926" s="145"/>
      <c r="Y926" s="145"/>
      <c r="Z926" s="145"/>
    </row>
    <row r="927" spans="1:26" ht="15.75" x14ac:dyDescent="0.25">
      <c r="A927" s="145"/>
      <c r="B927" s="145"/>
      <c r="C927" s="145"/>
      <c r="D927" s="145"/>
      <c r="E927" s="145"/>
      <c r="F927" s="145"/>
      <c r="G927" s="145"/>
      <c r="H927" s="145"/>
      <c r="I927" s="145"/>
      <c r="J927" s="145"/>
      <c r="K927" s="145"/>
      <c r="L927" s="145"/>
      <c r="M927" s="145"/>
      <c r="N927" s="145"/>
      <c r="O927" s="145"/>
      <c r="P927" s="145"/>
      <c r="Q927" s="145"/>
      <c r="R927" s="145"/>
      <c r="S927" s="145"/>
      <c r="T927" s="145"/>
      <c r="U927" s="145"/>
      <c r="V927" s="145"/>
      <c r="W927" s="145"/>
      <c r="X927" s="145"/>
      <c r="Y927" s="145"/>
      <c r="Z927" s="145"/>
    </row>
    <row r="928" spans="1:26" ht="15.75" x14ac:dyDescent="0.25">
      <c r="A928" s="145"/>
      <c r="B928" s="145"/>
      <c r="C928" s="145"/>
      <c r="D928" s="145"/>
      <c r="E928" s="145"/>
      <c r="F928" s="145"/>
      <c r="G928" s="145"/>
      <c r="H928" s="145"/>
      <c r="I928" s="145"/>
      <c r="J928" s="145"/>
      <c r="K928" s="145"/>
      <c r="L928" s="145"/>
      <c r="M928" s="145"/>
      <c r="N928" s="145"/>
      <c r="O928" s="145"/>
      <c r="P928" s="145"/>
      <c r="Q928" s="145"/>
      <c r="R928" s="145"/>
      <c r="S928" s="145"/>
      <c r="T928" s="145"/>
      <c r="U928" s="145"/>
      <c r="V928" s="145"/>
      <c r="W928" s="145"/>
      <c r="X928" s="145"/>
      <c r="Y928" s="145"/>
      <c r="Z928" s="145"/>
    </row>
    <row r="929" spans="1:26" ht="15.75" x14ac:dyDescent="0.25">
      <c r="A929" s="145"/>
      <c r="B929" s="145"/>
      <c r="C929" s="145"/>
      <c r="D929" s="145"/>
      <c r="E929" s="145"/>
      <c r="F929" s="145"/>
      <c r="G929" s="145"/>
      <c r="H929" s="145"/>
      <c r="I929" s="145"/>
      <c r="J929" s="145"/>
      <c r="K929" s="145"/>
      <c r="L929" s="145"/>
      <c r="M929" s="145"/>
      <c r="N929" s="145"/>
      <c r="O929" s="145"/>
      <c r="P929" s="145"/>
      <c r="Q929" s="145"/>
      <c r="R929" s="145"/>
      <c r="S929" s="145"/>
      <c r="T929" s="145"/>
      <c r="U929" s="145"/>
      <c r="V929" s="145"/>
      <c r="W929" s="145"/>
      <c r="X929" s="145"/>
      <c r="Y929" s="145"/>
      <c r="Z929" s="145"/>
    </row>
    <row r="930" spans="1:26" ht="15.75" x14ac:dyDescent="0.25">
      <c r="A930" s="145"/>
      <c r="B930" s="145"/>
      <c r="C930" s="145"/>
      <c r="D930" s="145"/>
      <c r="E930" s="145"/>
      <c r="F930" s="145"/>
      <c r="G930" s="145"/>
      <c r="H930" s="145"/>
      <c r="I930" s="145"/>
      <c r="J930" s="145"/>
      <c r="K930" s="145"/>
      <c r="L930" s="145"/>
      <c r="M930" s="145"/>
      <c r="N930" s="145"/>
      <c r="O930" s="145"/>
      <c r="P930" s="145"/>
      <c r="Q930" s="145"/>
      <c r="R930" s="145"/>
      <c r="S930" s="145"/>
      <c r="T930" s="145"/>
      <c r="U930" s="145"/>
      <c r="V930" s="145"/>
      <c r="W930" s="145"/>
      <c r="X930" s="145"/>
      <c r="Y930" s="145"/>
      <c r="Z930" s="145"/>
    </row>
    <row r="931" spans="1:26" ht="15.75" x14ac:dyDescent="0.25">
      <c r="A931" s="145"/>
      <c r="B931" s="145"/>
      <c r="C931" s="145"/>
      <c r="D931" s="145"/>
      <c r="E931" s="145"/>
      <c r="F931" s="145"/>
      <c r="G931" s="145"/>
      <c r="H931" s="145"/>
      <c r="I931" s="145"/>
      <c r="J931" s="145"/>
      <c r="K931" s="145"/>
      <c r="L931" s="145"/>
      <c r="M931" s="145"/>
      <c r="N931" s="145"/>
      <c r="O931" s="145"/>
      <c r="P931" s="145"/>
      <c r="Q931" s="145"/>
      <c r="R931" s="145"/>
      <c r="S931" s="145"/>
      <c r="T931" s="145"/>
      <c r="U931" s="145"/>
      <c r="V931" s="145"/>
      <c r="W931" s="145"/>
      <c r="X931" s="145"/>
      <c r="Y931" s="145"/>
      <c r="Z931" s="145"/>
    </row>
    <row r="932" spans="1:26" ht="15.75" x14ac:dyDescent="0.25">
      <c r="A932" s="145"/>
      <c r="B932" s="145"/>
      <c r="C932" s="145"/>
      <c r="D932" s="145"/>
      <c r="E932" s="145"/>
      <c r="F932" s="145"/>
      <c r="G932" s="145"/>
      <c r="H932" s="145"/>
      <c r="I932" s="145"/>
      <c r="J932" s="145"/>
      <c r="K932" s="145"/>
      <c r="L932" s="145"/>
      <c r="M932" s="145"/>
      <c r="N932" s="145"/>
      <c r="O932" s="145"/>
      <c r="P932" s="145"/>
      <c r="Q932" s="145"/>
      <c r="R932" s="145"/>
      <c r="S932" s="145"/>
      <c r="T932" s="145"/>
      <c r="U932" s="145"/>
      <c r="V932" s="145"/>
      <c r="W932" s="145"/>
      <c r="X932" s="145"/>
      <c r="Y932" s="145"/>
      <c r="Z932" s="145"/>
    </row>
    <row r="933" spans="1:26" ht="15.75" x14ac:dyDescent="0.25">
      <c r="A933" s="145"/>
      <c r="B933" s="145"/>
      <c r="C933" s="145"/>
      <c r="D933" s="145"/>
      <c r="E933" s="145"/>
      <c r="F933" s="145"/>
      <c r="G933" s="145"/>
      <c r="H933" s="145"/>
      <c r="I933" s="145"/>
      <c r="J933" s="145"/>
      <c r="K933" s="145"/>
      <c r="L933" s="145"/>
      <c r="M933" s="145"/>
      <c r="N933" s="145"/>
      <c r="O933" s="145"/>
      <c r="P933" s="145"/>
      <c r="Q933" s="145"/>
      <c r="R933" s="145"/>
      <c r="S933" s="145"/>
      <c r="T933" s="145"/>
      <c r="U933" s="145"/>
      <c r="V933" s="145"/>
      <c r="W933" s="145"/>
      <c r="X933" s="145"/>
      <c r="Y933" s="145"/>
      <c r="Z933" s="145"/>
    </row>
    <row r="934" spans="1:26" ht="15.75" x14ac:dyDescent="0.25">
      <c r="A934" s="145"/>
      <c r="B934" s="145"/>
      <c r="C934" s="145"/>
      <c r="D934" s="145"/>
      <c r="E934" s="145"/>
      <c r="F934" s="145"/>
      <c r="G934" s="145"/>
      <c r="H934" s="145"/>
      <c r="I934" s="145"/>
      <c r="J934" s="145"/>
      <c r="K934" s="145"/>
      <c r="L934" s="145"/>
      <c r="M934" s="145"/>
      <c r="N934" s="145"/>
      <c r="O934" s="145"/>
      <c r="P934" s="145"/>
      <c r="Q934" s="145"/>
      <c r="R934" s="145"/>
      <c r="S934" s="145"/>
      <c r="T934" s="145"/>
      <c r="U934" s="145"/>
      <c r="V934" s="145"/>
      <c r="W934" s="145"/>
      <c r="X934" s="145"/>
      <c r="Y934" s="145"/>
      <c r="Z934" s="145"/>
    </row>
    <row r="935" spans="1:26" ht="15.75" x14ac:dyDescent="0.25">
      <c r="A935" s="145"/>
      <c r="B935" s="145"/>
      <c r="C935" s="145"/>
      <c r="D935" s="145"/>
      <c r="E935" s="145"/>
      <c r="F935" s="145"/>
      <c r="G935" s="145"/>
      <c r="H935" s="145"/>
      <c r="I935" s="145"/>
      <c r="J935" s="145"/>
      <c r="K935" s="145"/>
      <c r="L935" s="145"/>
      <c r="M935" s="145"/>
      <c r="N935" s="145"/>
      <c r="O935" s="145"/>
      <c r="P935" s="145"/>
      <c r="Q935" s="145"/>
      <c r="R935" s="145"/>
      <c r="S935" s="145"/>
      <c r="T935" s="145"/>
      <c r="U935" s="145"/>
      <c r="V935" s="145"/>
      <c r="W935" s="145"/>
      <c r="X935" s="145"/>
      <c r="Y935" s="145"/>
      <c r="Z935" s="145"/>
    </row>
    <row r="936" spans="1:26" ht="15.75" x14ac:dyDescent="0.25">
      <c r="A936" s="145"/>
      <c r="B936" s="145"/>
      <c r="C936" s="145"/>
      <c r="D936" s="145"/>
      <c r="E936" s="145"/>
      <c r="F936" s="145"/>
      <c r="G936" s="145"/>
      <c r="H936" s="145"/>
      <c r="I936" s="145"/>
      <c r="J936" s="145"/>
      <c r="K936" s="145"/>
      <c r="L936" s="145"/>
      <c r="M936" s="145"/>
      <c r="N936" s="145"/>
      <c r="O936" s="145"/>
      <c r="P936" s="145"/>
      <c r="Q936" s="145"/>
      <c r="R936" s="145"/>
      <c r="S936" s="145"/>
      <c r="T936" s="145"/>
      <c r="U936" s="145"/>
      <c r="V936" s="145"/>
      <c r="W936" s="145"/>
      <c r="X936" s="145"/>
      <c r="Y936" s="145"/>
      <c r="Z936" s="145"/>
    </row>
    <row r="937" spans="1:26" ht="15.75" x14ac:dyDescent="0.25">
      <c r="A937" s="145"/>
      <c r="B937" s="145"/>
      <c r="C937" s="145"/>
      <c r="D937" s="145"/>
      <c r="E937" s="145"/>
      <c r="F937" s="145"/>
      <c r="G937" s="145"/>
      <c r="H937" s="145"/>
      <c r="I937" s="145"/>
      <c r="J937" s="145"/>
      <c r="K937" s="145"/>
      <c r="L937" s="145"/>
      <c r="M937" s="145"/>
      <c r="N937" s="145"/>
      <c r="O937" s="145"/>
      <c r="P937" s="145"/>
      <c r="Q937" s="145"/>
      <c r="R937" s="145"/>
      <c r="S937" s="145"/>
      <c r="T937" s="145"/>
      <c r="U937" s="145"/>
      <c r="V937" s="145"/>
      <c r="W937" s="145"/>
      <c r="X937" s="145"/>
      <c r="Y937" s="145"/>
      <c r="Z937" s="145"/>
    </row>
    <row r="938" spans="1:26" ht="15.75" x14ac:dyDescent="0.25">
      <c r="A938" s="145"/>
      <c r="B938" s="145"/>
      <c r="C938" s="145"/>
      <c r="D938" s="145"/>
      <c r="E938" s="145"/>
      <c r="F938" s="145"/>
      <c r="G938" s="145"/>
      <c r="H938" s="145"/>
      <c r="I938" s="145"/>
      <c r="J938" s="145"/>
      <c r="K938" s="145"/>
      <c r="L938" s="145"/>
      <c r="M938" s="145"/>
      <c r="N938" s="145"/>
      <c r="O938" s="145"/>
      <c r="P938" s="145"/>
      <c r="Q938" s="145"/>
      <c r="R938" s="145"/>
      <c r="S938" s="145"/>
      <c r="T938" s="145"/>
      <c r="U938" s="145"/>
      <c r="V938" s="145"/>
      <c r="W938" s="145"/>
      <c r="X938" s="145"/>
      <c r="Y938" s="145"/>
      <c r="Z938" s="145"/>
    </row>
    <row r="939" spans="1:26" ht="15.75" x14ac:dyDescent="0.25">
      <c r="A939" s="145"/>
      <c r="B939" s="145"/>
      <c r="C939" s="145"/>
      <c r="D939" s="145"/>
      <c r="E939" s="145"/>
      <c r="F939" s="145"/>
      <c r="G939" s="145"/>
      <c r="H939" s="145"/>
      <c r="I939" s="145"/>
      <c r="J939" s="145"/>
      <c r="K939" s="145"/>
      <c r="L939" s="145"/>
      <c r="M939" s="145"/>
      <c r="N939" s="145"/>
      <c r="O939" s="145"/>
      <c r="P939" s="145"/>
      <c r="Q939" s="145"/>
      <c r="R939" s="145"/>
      <c r="S939" s="145"/>
      <c r="T939" s="145"/>
      <c r="U939" s="145"/>
      <c r="V939" s="145"/>
      <c r="W939" s="145"/>
      <c r="X939" s="145"/>
      <c r="Y939" s="145"/>
      <c r="Z939" s="145"/>
    </row>
    <row r="940" spans="1:26" ht="15.75" x14ac:dyDescent="0.25">
      <c r="A940" s="145"/>
      <c r="B940" s="145"/>
      <c r="C940" s="145"/>
      <c r="D940" s="145"/>
      <c r="E940" s="145"/>
      <c r="F940" s="145"/>
      <c r="G940" s="145"/>
      <c r="H940" s="145"/>
      <c r="I940" s="145"/>
      <c r="J940" s="145"/>
      <c r="K940" s="145"/>
      <c r="L940" s="145"/>
      <c r="M940" s="145"/>
      <c r="N940" s="145"/>
      <c r="O940" s="145"/>
      <c r="P940" s="145"/>
      <c r="Q940" s="145"/>
      <c r="R940" s="145"/>
      <c r="S940" s="145"/>
      <c r="T940" s="145"/>
      <c r="U940" s="145"/>
      <c r="V940" s="145"/>
      <c r="W940" s="145"/>
      <c r="X940" s="145"/>
      <c r="Y940" s="145"/>
      <c r="Z940" s="145"/>
    </row>
    <row r="941" spans="1:26" ht="15.75" x14ac:dyDescent="0.25">
      <c r="A941" s="145"/>
      <c r="B941" s="145"/>
      <c r="C941" s="145"/>
      <c r="D941" s="145"/>
      <c r="E941" s="145"/>
      <c r="F941" s="145"/>
      <c r="G941" s="145"/>
      <c r="H941" s="145"/>
      <c r="I941" s="145"/>
      <c r="J941" s="145"/>
      <c r="K941" s="145"/>
      <c r="L941" s="145"/>
      <c r="M941" s="145"/>
      <c r="N941" s="145"/>
      <c r="O941" s="145"/>
      <c r="P941" s="145"/>
      <c r="Q941" s="145"/>
      <c r="R941" s="145"/>
      <c r="S941" s="145"/>
      <c r="T941" s="145"/>
      <c r="U941" s="145"/>
      <c r="V941" s="145"/>
      <c r="W941" s="145"/>
      <c r="X941" s="145"/>
      <c r="Y941" s="145"/>
      <c r="Z941" s="145"/>
    </row>
    <row r="942" spans="1:26" ht="15.75" x14ac:dyDescent="0.25">
      <c r="A942" s="145"/>
      <c r="B942" s="145"/>
      <c r="C942" s="145"/>
      <c r="D942" s="145"/>
      <c r="E942" s="145"/>
      <c r="F942" s="145"/>
      <c r="G942" s="145"/>
      <c r="H942" s="145"/>
      <c r="I942" s="145"/>
      <c r="J942" s="145"/>
      <c r="K942" s="145"/>
      <c r="L942" s="145"/>
      <c r="M942" s="145"/>
      <c r="N942" s="145"/>
      <c r="O942" s="145"/>
      <c r="P942" s="145"/>
      <c r="Q942" s="145"/>
      <c r="R942" s="145"/>
      <c r="S942" s="145"/>
      <c r="T942" s="145"/>
      <c r="U942" s="145"/>
      <c r="V942" s="145"/>
      <c r="W942" s="145"/>
      <c r="X942" s="145"/>
      <c r="Y942" s="145"/>
      <c r="Z942" s="145"/>
    </row>
    <row r="943" spans="1:26" ht="15.75" x14ac:dyDescent="0.25">
      <c r="A943" s="145"/>
      <c r="B943" s="145"/>
      <c r="C943" s="145"/>
      <c r="D943" s="145"/>
      <c r="E943" s="145"/>
      <c r="F943" s="145"/>
      <c r="G943" s="145"/>
      <c r="H943" s="145"/>
      <c r="I943" s="145"/>
      <c r="J943" s="145"/>
      <c r="K943" s="145"/>
      <c r="L943" s="145"/>
      <c r="M943" s="145"/>
      <c r="N943" s="145"/>
      <c r="O943" s="145"/>
      <c r="P943" s="145"/>
      <c r="Q943" s="145"/>
      <c r="R943" s="145"/>
      <c r="S943" s="145"/>
      <c r="T943" s="145"/>
      <c r="U943" s="145"/>
      <c r="V943" s="145"/>
      <c r="W943" s="145"/>
      <c r="X943" s="145"/>
      <c r="Y943" s="145"/>
      <c r="Z943" s="145"/>
    </row>
    <row r="944" spans="1:26" ht="15.75" x14ac:dyDescent="0.25">
      <c r="A944" s="145"/>
      <c r="B944" s="145"/>
      <c r="C944" s="145"/>
      <c r="D944" s="145"/>
      <c r="E944" s="145"/>
      <c r="F944" s="145"/>
      <c r="G944" s="145"/>
      <c r="H944" s="145"/>
      <c r="I944" s="145"/>
      <c r="J944" s="145"/>
      <c r="K944" s="145"/>
      <c r="L944" s="145"/>
      <c r="M944" s="145"/>
      <c r="N944" s="145"/>
      <c r="O944" s="145"/>
      <c r="P944" s="145"/>
      <c r="Q944" s="145"/>
      <c r="R944" s="145"/>
      <c r="S944" s="145"/>
      <c r="T944" s="145"/>
      <c r="U944" s="145"/>
      <c r="V944" s="145"/>
      <c r="W944" s="145"/>
      <c r="X944" s="145"/>
      <c r="Y944" s="145"/>
      <c r="Z944" s="145"/>
    </row>
    <row r="945" spans="1:26" ht="15.75" x14ac:dyDescent="0.25">
      <c r="A945" s="145"/>
      <c r="B945" s="145"/>
      <c r="C945" s="145"/>
      <c r="D945" s="145"/>
      <c r="E945" s="145"/>
      <c r="F945" s="145"/>
      <c r="G945" s="145"/>
      <c r="H945" s="145"/>
      <c r="I945" s="145"/>
      <c r="J945" s="145"/>
      <c r="K945" s="145"/>
      <c r="L945" s="145"/>
      <c r="M945" s="145"/>
      <c r="N945" s="145"/>
      <c r="O945" s="145"/>
      <c r="P945" s="145"/>
      <c r="Q945" s="145"/>
      <c r="R945" s="145"/>
      <c r="S945" s="145"/>
      <c r="T945" s="145"/>
      <c r="U945" s="145"/>
      <c r="V945" s="145"/>
      <c r="W945" s="145"/>
      <c r="X945" s="145"/>
      <c r="Y945" s="145"/>
      <c r="Z945" s="145"/>
    </row>
    <row r="946" spans="1:26" ht="15.75" x14ac:dyDescent="0.25">
      <c r="A946" s="145"/>
      <c r="B946" s="145"/>
      <c r="C946" s="145"/>
      <c r="D946" s="145"/>
      <c r="E946" s="145"/>
      <c r="F946" s="145"/>
      <c r="G946" s="145"/>
      <c r="H946" s="145"/>
      <c r="I946" s="145"/>
      <c r="J946" s="145"/>
      <c r="K946" s="145"/>
      <c r="L946" s="145"/>
      <c r="M946" s="145"/>
      <c r="N946" s="145"/>
      <c r="O946" s="145"/>
      <c r="P946" s="145"/>
      <c r="Q946" s="145"/>
      <c r="R946" s="145"/>
      <c r="S946" s="145"/>
      <c r="T946" s="145"/>
      <c r="U946" s="145"/>
      <c r="V946" s="145"/>
      <c r="W946" s="145"/>
      <c r="X946" s="145"/>
      <c r="Y946" s="145"/>
      <c r="Z946" s="145"/>
    </row>
    <row r="947" spans="1:26" ht="15.75" x14ac:dyDescent="0.25">
      <c r="A947" s="145"/>
      <c r="B947" s="145"/>
      <c r="C947" s="145"/>
      <c r="D947" s="145"/>
      <c r="E947" s="145"/>
      <c r="F947" s="145"/>
      <c r="G947" s="145"/>
      <c r="H947" s="145"/>
      <c r="I947" s="145"/>
      <c r="J947" s="145"/>
      <c r="K947" s="145"/>
      <c r="L947" s="145"/>
      <c r="M947" s="145"/>
      <c r="N947" s="145"/>
      <c r="O947" s="145"/>
      <c r="P947" s="145"/>
      <c r="Q947" s="145"/>
      <c r="R947" s="145"/>
      <c r="S947" s="145"/>
      <c r="T947" s="145"/>
      <c r="U947" s="145"/>
      <c r="V947" s="145"/>
      <c r="W947" s="145"/>
      <c r="X947" s="145"/>
      <c r="Y947" s="145"/>
      <c r="Z947" s="145"/>
    </row>
    <row r="948" spans="1:26" ht="15.75" x14ac:dyDescent="0.25">
      <c r="A948" s="145"/>
      <c r="B948" s="145"/>
      <c r="C948" s="145"/>
      <c r="D948" s="145"/>
      <c r="E948" s="145"/>
      <c r="F948" s="145"/>
      <c r="G948" s="145"/>
      <c r="H948" s="145"/>
      <c r="I948" s="145"/>
      <c r="J948" s="145"/>
      <c r="K948" s="145"/>
      <c r="L948" s="145"/>
      <c r="M948" s="145"/>
      <c r="N948" s="145"/>
      <c r="O948" s="145"/>
      <c r="P948" s="145"/>
      <c r="Q948" s="145"/>
      <c r="R948" s="145"/>
      <c r="S948" s="145"/>
      <c r="T948" s="145"/>
      <c r="U948" s="145"/>
      <c r="V948" s="145"/>
      <c r="W948" s="145"/>
      <c r="X948" s="145"/>
      <c r="Y948" s="145"/>
      <c r="Z948" s="145"/>
    </row>
    <row r="949" spans="1:26" ht="15.75" x14ac:dyDescent="0.25">
      <c r="A949" s="145"/>
      <c r="B949" s="145"/>
      <c r="C949" s="145"/>
      <c r="D949" s="145"/>
      <c r="E949" s="145"/>
      <c r="F949" s="145"/>
      <c r="G949" s="145"/>
      <c r="H949" s="145"/>
      <c r="I949" s="145"/>
      <c r="J949" s="145"/>
      <c r="K949" s="145"/>
      <c r="L949" s="145"/>
      <c r="M949" s="145"/>
      <c r="N949" s="145"/>
      <c r="O949" s="145"/>
      <c r="P949" s="145"/>
      <c r="Q949" s="145"/>
      <c r="R949" s="145"/>
      <c r="S949" s="145"/>
      <c r="T949" s="145"/>
      <c r="U949" s="145"/>
      <c r="V949" s="145"/>
      <c r="W949" s="145"/>
      <c r="X949" s="145"/>
      <c r="Y949" s="145"/>
      <c r="Z949" s="145"/>
    </row>
    <row r="950" spans="1:26" ht="15.75" x14ac:dyDescent="0.25">
      <c r="A950" s="145"/>
      <c r="B950" s="145"/>
      <c r="C950" s="145"/>
      <c r="D950" s="145"/>
      <c r="E950" s="145"/>
      <c r="F950" s="145"/>
      <c r="G950" s="145"/>
      <c r="H950" s="145"/>
      <c r="I950" s="145"/>
      <c r="J950" s="145"/>
      <c r="K950" s="145"/>
      <c r="L950" s="145"/>
      <c r="M950" s="145"/>
      <c r="N950" s="145"/>
      <c r="O950" s="145"/>
      <c r="P950" s="145"/>
      <c r="Q950" s="145"/>
      <c r="R950" s="145"/>
      <c r="S950" s="145"/>
      <c r="T950" s="145"/>
      <c r="U950" s="145"/>
      <c r="V950" s="145"/>
      <c r="W950" s="145"/>
      <c r="X950" s="145"/>
      <c r="Y950" s="145"/>
      <c r="Z950" s="145"/>
    </row>
    <row r="951" spans="1:26" ht="15.75" x14ac:dyDescent="0.25">
      <c r="A951" s="145"/>
      <c r="B951" s="145"/>
      <c r="C951" s="145"/>
      <c r="D951" s="145"/>
      <c r="E951" s="145"/>
      <c r="F951" s="145"/>
      <c r="G951" s="145"/>
      <c r="H951" s="145"/>
      <c r="I951" s="145"/>
      <c r="J951" s="145"/>
      <c r="K951" s="145"/>
      <c r="L951" s="145"/>
      <c r="M951" s="145"/>
      <c r="N951" s="145"/>
      <c r="O951" s="145"/>
      <c r="P951" s="145"/>
      <c r="Q951" s="145"/>
      <c r="R951" s="145"/>
      <c r="S951" s="145"/>
      <c r="T951" s="145"/>
      <c r="U951" s="145"/>
      <c r="V951" s="145"/>
      <c r="W951" s="145"/>
      <c r="X951" s="145"/>
      <c r="Y951" s="145"/>
      <c r="Z951" s="145"/>
    </row>
    <row r="952" spans="1:26" ht="15.75" x14ac:dyDescent="0.25">
      <c r="A952" s="145"/>
      <c r="B952" s="145"/>
      <c r="C952" s="145"/>
      <c r="D952" s="145"/>
      <c r="E952" s="145"/>
      <c r="F952" s="145"/>
      <c r="G952" s="145"/>
      <c r="H952" s="145"/>
      <c r="I952" s="145"/>
      <c r="J952" s="145"/>
      <c r="K952" s="145"/>
      <c r="L952" s="145"/>
      <c r="M952" s="145"/>
      <c r="N952" s="145"/>
      <c r="O952" s="145"/>
      <c r="P952" s="145"/>
      <c r="Q952" s="145"/>
      <c r="R952" s="145"/>
      <c r="S952" s="145"/>
      <c r="T952" s="145"/>
      <c r="U952" s="145"/>
      <c r="V952" s="145"/>
      <c r="W952" s="145"/>
      <c r="X952" s="145"/>
      <c r="Y952" s="145"/>
      <c r="Z952" s="145"/>
    </row>
    <row r="953" spans="1:26" ht="15.75" x14ac:dyDescent="0.25">
      <c r="A953" s="145"/>
      <c r="B953" s="145"/>
      <c r="C953" s="145"/>
      <c r="D953" s="145"/>
      <c r="E953" s="145"/>
      <c r="F953" s="145"/>
      <c r="G953" s="145"/>
      <c r="H953" s="145"/>
      <c r="I953" s="145"/>
      <c r="J953" s="145"/>
      <c r="K953" s="145"/>
      <c r="L953" s="145"/>
      <c r="M953" s="145"/>
      <c r="N953" s="145"/>
      <c r="O953" s="145"/>
      <c r="P953" s="145"/>
      <c r="Q953" s="145"/>
      <c r="R953" s="145"/>
      <c r="S953" s="145"/>
      <c r="T953" s="145"/>
      <c r="U953" s="145"/>
      <c r="V953" s="145"/>
      <c r="W953" s="145"/>
      <c r="X953" s="145"/>
      <c r="Y953" s="145"/>
      <c r="Z953" s="145"/>
    </row>
    <row r="954" spans="1:26" ht="15.75" x14ac:dyDescent="0.25">
      <c r="A954" s="145"/>
      <c r="B954" s="145"/>
      <c r="C954" s="145"/>
      <c r="D954" s="145"/>
      <c r="E954" s="145"/>
      <c r="F954" s="145"/>
      <c r="G954" s="145"/>
      <c r="H954" s="145"/>
      <c r="I954" s="145"/>
      <c r="J954" s="145"/>
      <c r="K954" s="145"/>
      <c r="L954" s="145"/>
      <c r="M954" s="145"/>
      <c r="N954" s="145"/>
      <c r="O954" s="145"/>
      <c r="P954" s="145"/>
      <c r="Q954" s="145"/>
      <c r="R954" s="145"/>
      <c r="S954" s="145"/>
      <c r="T954" s="145"/>
      <c r="U954" s="145"/>
      <c r="V954" s="145"/>
      <c r="W954" s="145"/>
      <c r="X954" s="145"/>
      <c r="Y954" s="145"/>
      <c r="Z954" s="145"/>
    </row>
    <row r="955" spans="1:26" ht="15.75" x14ac:dyDescent="0.25">
      <c r="A955" s="145"/>
      <c r="B955" s="145"/>
      <c r="C955" s="145"/>
      <c r="D955" s="145"/>
      <c r="E955" s="145"/>
      <c r="F955" s="145"/>
      <c r="G955" s="145"/>
      <c r="H955" s="145"/>
      <c r="I955" s="145"/>
      <c r="J955" s="145"/>
      <c r="K955" s="145"/>
      <c r="L955" s="145"/>
      <c r="M955" s="145"/>
      <c r="N955" s="145"/>
      <c r="O955" s="145"/>
      <c r="P955" s="145"/>
      <c r="Q955" s="145"/>
      <c r="R955" s="145"/>
      <c r="S955" s="145"/>
      <c r="T955" s="145"/>
      <c r="U955" s="145"/>
      <c r="V955" s="145"/>
      <c r="W955" s="145"/>
      <c r="X955" s="145"/>
      <c r="Y955" s="145"/>
      <c r="Z955" s="145"/>
    </row>
    <row r="956" spans="1:26" ht="15.75" x14ac:dyDescent="0.25">
      <c r="A956" s="145"/>
      <c r="B956" s="145"/>
      <c r="C956" s="145"/>
      <c r="D956" s="145"/>
      <c r="E956" s="145"/>
      <c r="F956" s="145"/>
      <c r="G956" s="145"/>
      <c r="H956" s="145"/>
      <c r="I956" s="145"/>
      <c r="J956" s="145"/>
      <c r="K956" s="145"/>
      <c r="L956" s="145"/>
      <c r="M956" s="145"/>
      <c r="N956" s="145"/>
      <c r="O956" s="145"/>
      <c r="P956" s="145"/>
      <c r="Q956" s="145"/>
      <c r="R956" s="145"/>
      <c r="S956" s="145"/>
      <c r="T956" s="145"/>
      <c r="U956" s="145"/>
      <c r="V956" s="145"/>
      <c r="W956" s="145"/>
      <c r="X956" s="145"/>
      <c r="Y956" s="145"/>
      <c r="Z956" s="145"/>
    </row>
    <row r="957" spans="1:26" ht="15.75" x14ac:dyDescent="0.25">
      <c r="A957" s="145"/>
      <c r="B957" s="145"/>
      <c r="C957" s="145"/>
      <c r="D957" s="145"/>
      <c r="E957" s="145"/>
      <c r="F957" s="145"/>
      <c r="G957" s="145"/>
      <c r="H957" s="145"/>
      <c r="I957" s="145"/>
      <c r="J957" s="145"/>
      <c r="K957" s="145"/>
      <c r="L957" s="145"/>
      <c r="M957" s="145"/>
      <c r="N957" s="145"/>
      <c r="O957" s="145"/>
      <c r="P957" s="145"/>
      <c r="Q957" s="145"/>
      <c r="R957" s="145"/>
      <c r="S957" s="145"/>
      <c r="T957" s="145"/>
      <c r="U957" s="145"/>
      <c r="V957" s="145"/>
      <c r="W957" s="145"/>
      <c r="X957" s="145"/>
      <c r="Y957" s="145"/>
      <c r="Z957" s="145"/>
    </row>
    <row r="958" spans="1:26" ht="15.75" x14ac:dyDescent="0.25">
      <c r="A958" s="145"/>
      <c r="B958" s="145"/>
      <c r="C958" s="145"/>
      <c r="D958" s="145"/>
      <c r="E958" s="145"/>
      <c r="F958" s="145"/>
      <c r="G958" s="145"/>
      <c r="H958" s="145"/>
      <c r="I958" s="145"/>
      <c r="J958" s="145"/>
      <c r="K958" s="145"/>
      <c r="L958" s="145"/>
      <c r="M958" s="145"/>
      <c r="N958" s="145"/>
      <c r="O958" s="145"/>
      <c r="P958" s="145"/>
      <c r="Q958" s="145"/>
      <c r="R958" s="145"/>
      <c r="S958" s="145"/>
      <c r="T958" s="145"/>
      <c r="U958" s="145"/>
      <c r="V958" s="145"/>
      <c r="W958" s="145"/>
      <c r="X958" s="145"/>
      <c r="Y958" s="145"/>
      <c r="Z958" s="145"/>
    </row>
    <row r="959" spans="1:26" ht="15.75" x14ac:dyDescent="0.25">
      <c r="A959" s="145"/>
      <c r="B959" s="145"/>
      <c r="C959" s="145"/>
      <c r="D959" s="145"/>
      <c r="E959" s="145"/>
      <c r="F959" s="145"/>
      <c r="G959" s="145"/>
      <c r="H959" s="145"/>
      <c r="I959" s="145"/>
      <c r="J959" s="145"/>
      <c r="K959" s="145"/>
      <c r="L959" s="145"/>
      <c r="M959" s="145"/>
      <c r="N959" s="145"/>
      <c r="O959" s="145"/>
      <c r="P959" s="145"/>
      <c r="Q959" s="145"/>
      <c r="R959" s="145"/>
      <c r="S959" s="145"/>
      <c r="T959" s="145"/>
      <c r="U959" s="145"/>
      <c r="V959" s="145"/>
      <c r="W959" s="145"/>
      <c r="X959" s="145"/>
      <c r="Y959" s="145"/>
      <c r="Z959" s="145"/>
    </row>
    <row r="960" spans="1:26" ht="15.75" x14ac:dyDescent="0.25">
      <c r="A960" s="145"/>
      <c r="B960" s="145"/>
      <c r="C960" s="145"/>
      <c r="D960" s="145"/>
      <c r="E960" s="145"/>
      <c r="F960" s="145"/>
      <c r="G960" s="145"/>
      <c r="H960" s="145"/>
      <c r="I960" s="145"/>
      <c r="J960" s="145"/>
      <c r="K960" s="145"/>
      <c r="L960" s="145"/>
      <c r="M960" s="145"/>
      <c r="N960" s="145"/>
      <c r="O960" s="145"/>
      <c r="P960" s="145"/>
      <c r="Q960" s="145"/>
      <c r="R960" s="145"/>
      <c r="S960" s="145"/>
      <c r="T960" s="145"/>
      <c r="U960" s="145"/>
      <c r="V960" s="145"/>
      <c r="W960" s="145"/>
      <c r="X960" s="145"/>
      <c r="Y960" s="145"/>
      <c r="Z960" s="145"/>
    </row>
    <row r="961" spans="1:26" ht="15.75" x14ac:dyDescent="0.25">
      <c r="A961" s="145"/>
      <c r="B961" s="145"/>
      <c r="C961" s="145"/>
      <c r="D961" s="145"/>
      <c r="E961" s="145"/>
      <c r="F961" s="145"/>
      <c r="G961" s="145"/>
      <c r="H961" s="145"/>
      <c r="I961" s="145"/>
      <c r="J961" s="145"/>
      <c r="K961" s="145"/>
      <c r="L961" s="145"/>
      <c r="M961" s="145"/>
      <c r="N961" s="145"/>
      <c r="O961" s="145"/>
      <c r="P961" s="145"/>
      <c r="Q961" s="145"/>
      <c r="R961" s="145"/>
      <c r="S961" s="145"/>
      <c r="T961" s="145"/>
      <c r="U961" s="145"/>
      <c r="V961" s="145"/>
      <c r="W961" s="145"/>
      <c r="X961" s="145"/>
      <c r="Y961" s="145"/>
      <c r="Z961" s="145"/>
    </row>
    <row r="962" spans="1:26" ht="15.75" x14ac:dyDescent="0.25">
      <c r="A962" s="145"/>
      <c r="B962" s="145"/>
      <c r="C962" s="145"/>
      <c r="D962" s="145"/>
      <c r="E962" s="145"/>
      <c r="F962" s="145"/>
      <c r="G962" s="145"/>
      <c r="H962" s="145"/>
      <c r="I962" s="145"/>
      <c r="J962" s="145"/>
      <c r="K962" s="145"/>
      <c r="L962" s="145"/>
      <c r="M962" s="145"/>
      <c r="N962" s="145"/>
      <c r="O962" s="145"/>
      <c r="P962" s="145"/>
      <c r="Q962" s="145"/>
      <c r="R962" s="145"/>
      <c r="S962" s="145"/>
      <c r="T962" s="145"/>
      <c r="U962" s="145"/>
      <c r="V962" s="145"/>
      <c r="W962" s="145"/>
      <c r="X962" s="145"/>
      <c r="Y962" s="145"/>
      <c r="Z962" s="145"/>
    </row>
    <row r="963" spans="1:26" ht="15.75" x14ac:dyDescent="0.25">
      <c r="A963" s="145"/>
      <c r="B963" s="145"/>
      <c r="C963" s="145"/>
      <c r="D963" s="145"/>
      <c r="E963" s="145"/>
      <c r="F963" s="145"/>
      <c r="G963" s="145"/>
      <c r="H963" s="145"/>
      <c r="I963" s="145"/>
      <c r="J963" s="145"/>
      <c r="K963" s="145"/>
      <c r="L963" s="145"/>
      <c r="M963" s="145"/>
      <c r="N963" s="145"/>
      <c r="O963" s="145"/>
      <c r="P963" s="145"/>
      <c r="Q963" s="145"/>
      <c r="R963" s="145"/>
      <c r="S963" s="145"/>
      <c r="T963" s="145"/>
      <c r="U963" s="145"/>
      <c r="V963" s="145"/>
      <c r="W963" s="145"/>
      <c r="X963" s="145"/>
      <c r="Y963" s="145"/>
      <c r="Z963" s="145"/>
    </row>
    <row r="964" spans="1:26" ht="15.75" x14ac:dyDescent="0.25">
      <c r="A964" s="145"/>
      <c r="B964" s="145"/>
      <c r="C964" s="145"/>
      <c r="D964" s="145"/>
      <c r="E964" s="145"/>
      <c r="F964" s="145"/>
      <c r="G964" s="145"/>
      <c r="H964" s="145"/>
      <c r="I964" s="145"/>
      <c r="J964" s="145"/>
      <c r="K964" s="145"/>
      <c r="L964" s="145"/>
      <c r="M964" s="145"/>
      <c r="N964" s="145"/>
      <c r="O964" s="145"/>
      <c r="P964" s="145"/>
      <c r="Q964" s="145"/>
      <c r="R964" s="145"/>
      <c r="S964" s="145"/>
      <c r="T964" s="145"/>
      <c r="U964" s="145"/>
      <c r="V964" s="145"/>
      <c r="W964" s="145"/>
      <c r="X964" s="145"/>
      <c r="Y964" s="145"/>
      <c r="Z964" s="145"/>
    </row>
    <row r="965" spans="1:26" ht="15.75" x14ac:dyDescent="0.25">
      <c r="A965" s="145"/>
      <c r="B965" s="145"/>
      <c r="C965" s="145"/>
      <c r="D965" s="145"/>
      <c r="E965" s="145"/>
      <c r="F965" s="145"/>
      <c r="G965" s="145"/>
      <c r="H965" s="145"/>
      <c r="I965" s="145"/>
      <c r="J965" s="145"/>
      <c r="K965" s="145"/>
      <c r="L965" s="145"/>
      <c r="M965" s="145"/>
      <c r="N965" s="145"/>
      <c r="O965" s="145"/>
      <c r="P965" s="145"/>
      <c r="Q965" s="145"/>
      <c r="R965" s="145"/>
      <c r="S965" s="145"/>
      <c r="T965" s="145"/>
      <c r="U965" s="145"/>
      <c r="V965" s="145"/>
      <c r="W965" s="145"/>
      <c r="X965" s="145"/>
      <c r="Y965" s="145"/>
      <c r="Z965" s="145"/>
    </row>
    <row r="966" spans="1:26" ht="15.75" x14ac:dyDescent="0.25">
      <c r="A966" s="145"/>
      <c r="B966" s="145"/>
      <c r="C966" s="145"/>
      <c r="D966" s="145"/>
      <c r="E966" s="145"/>
      <c r="F966" s="145"/>
      <c r="G966" s="145"/>
      <c r="H966" s="145"/>
      <c r="I966" s="145"/>
      <c r="J966" s="145"/>
      <c r="K966" s="145"/>
      <c r="L966" s="145"/>
      <c r="M966" s="145"/>
      <c r="N966" s="145"/>
      <c r="O966" s="145"/>
      <c r="P966" s="145"/>
      <c r="Q966" s="145"/>
      <c r="R966" s="145"/>
      <c r="S966" s="145"/>
      <c r="T966" s="145"/>
      <c r="U966" s="145"/>
      <c r="V966" s="145"/>
      <c r="W966" s="145"/>
      <c r="X966" s="145"/>
      <c r="Y966" s="145"/>
      <c r="Z966" s="145"/>
    </row>
    <row r="967" spans="1:26" ht="15.75" x14ac:dyDescent="0.25">
      <c r="A967" s="145"/>
      <c r="B967" s="145"/>
      <c r="C967" s="145"/>
      <c r="D967" s="145"/>
      <c r="E967" s="145"/>
      <c r="F967" s="145"/>
      <c r="G967" s="145"/>
      <c r="H967" s="145"/>
      <c r="I967" s="145"/>
      <c r="J967" s="145"/>
      <c r="K967" s="145"/>
      <c r="L967" s="145"/>
      <c r="M967" s="145"/>
      <c r="N967" s="145"/>
      <c r="O967" s="145"/>
      <c r="P967" s="145"/>
      <c r="Q967" s="145"/>
      <c r="R967" s="145"/>
      <c r="S967" s="145"/>
      <c r="T967" s="145"/>
      <c r="U967" s="145"/>
      <c r="V967" s="145"/>
      <c r="W967" s="145"/>
      <c r="X967" s="145"/>
      <c r="Y967" s="145"/>
      <c r="Z967" s="145"/>
    </row>
    <row r="968" spans="1:26" ht="15.75" x14ac:dyDescent="0.25">
      <c r="A968" s="145"/>
      <c r="B968" s="145"/>
      <c r="C968" s="145"/>
      <c r="D968" s="145"/>
      <c r="E968" s="145"/>
      <c r="F968" s="145"/>
      <c r="G968" s="145"/>
      <c r="H968" s="145"/>
      <c r="I968" s="145"/>
      <c r="J968" s="145"/>
      <c r="K968" s="145"/>
      <c r="L968" s="145"/>
      <c r="M968" s="145"/>
      <c r="N968" s="145"/>
      <c r="O968" s="145"/>
      <c r="P968" s="145"/>
      <c r="Q968" s="145"/>
      <c r="R968" s="145"/>
      <c r="S968" s="145"/>
      <c r="T968" s="145"/>
      <c r="U968" s="145"/>
      <c r="V968" s="145"/>
      <c r="W968" s="145"/>
      <c r="X968" s="145"/>
      <c r="Y968" s="145"/>
      <c r="Z968" s="145"/>
    </row>
    <row r="969" spans="1:26" ht="15.75" x14ac:dyDescent="0.25">
      <c r="A969" s="145"/>
      <c r="B969" s="145"/>
      <c r="C969" s="145"/>
      <c r="D969" s="145"/>
      <c r="E969" s="145"/>
      <c r="F969" s="145"/>
      <c r="G969" s="145"/>
      <c r="H969" s="145"/>
      <c r="I969" s="145"/>
      <c r="J969" s="145"/>
      <c r="K969" s="145"/>
      <c r="L969" s="145"/>
      <c r="M969" s="145"/>
      <c r="N969" s="145"/>
      <c r="O969" s="145"/>
      <c r="P969" s="145"/>
      <c r="Q969" s="145"/>
      <c r="R969" s="145"/>
      <c r="S969" s="145"/>
      <c r="T969" s="145"/>
      <c r="U969" s="145"/>
      <c r="V969" s="145"/>
      <c r="W969" s="145"/>
      <c r="X969" s="145"/>
      <c r="Y969" s="145"/>
      <c r="Z969" s="145"/>
    </row>
    <row r="970" spans="1:26" ht="15.75" x14ac:dyDescent="0.25">
      <c r="A970" s="145"/>
      <c r="B970" s="145"/>
      <c r="C970" s="145"/>
      <c r="D970" s="145"/>
      <c r="E970" s="145"/>
      <c r="F970" s="145"/>
      <c r="G970" s="145"/>
      <c r="H970" s="145"/>
      <c r="I970" s="145"/>
      <c r="J970" s="145"/>
      <c r="K970" s="145"/>
      <c r="L970" s="145"/>
      <c r="M970" s="145"/>
      <c r="N970" s="145"/>
      <c r="O970" s="145"/>
      <c r="P970" s="145"/>
      <c r="Q970" s="145"/>
      <c r="R970" s="145"/>
      <c r="S970" s="145"/>
      <c r="T970" s="145"/>
      <c r="U970" s="145"/>
      <c r="V970" s="145"/>
      <c r="W970" s="145"/>
      <c r="X970" s="145"/>
      <c r="Y970" s="145"/>
      <c r="Z970" s="145"/>
    </row>
    <row r="971" spans="1:26" ht="15.75" x14ac:dyDescent="0.25">
      <c r="A971" s="145"/>
      <c r="B971" s="145"/>
      <c r="C971" s="145"/>
      <c r="D971" s="145"/>
      <c r="E971" s="145"/>
      <c r="F971" s="145"/>
      <c r="G971" s="145"/>
      <c r="H971" s="145"/>
      <c r="I971" s="145"/>
      <c r="J971" s="145"/>
      <c r="K971" s="145"/>
      <c r="L971" s="145"/>
      <c r="M971" s="145"/>
      <c r="N971" s="145"/>
      <c r="O971" s="145"/>
      <c r="P971" s="145"/>
      <c r="Q971" s="145"/>
      <c r="R971" s="145"/>
      <c r="S971" s="145"/>
      <c r="T971" s="145"/>
      <c r="U971" s="145"/>
      <c r="V971" s="145"/>
      <c r="W971" s="145"/>
      <c r="X971" s="145"/>
      <c r="Y971" s="145"/>
      <c r="Z971" s="145"/>
    </row>
    <row r="972" spans="1:26" ht="15.75" x14ac:dyDescent="0.25">
      <c r="A972" s="145"/>
      <c r="B972" s="145"/>
      <c r="C972" s="145"/>
      <c r="D972" s="145"/>
      <c r="E972" s="145"/>
      <c r="F972" s="145"/>
      <c r="G972" s="145"/>
      <c r="H972" s="145"/>
      <c r="I972" s="145"/>
      <c r="J972" s="145"/>
      <c r="K972" s="145"/>
      <c r="L972" s="145"/>
      <c r="M972" s="145"/>
      <c r="N972" s="145"/>
      <c r="O972" s="145"/>
      <c r="P972" s="145"/>
      <c r="Q972" s="145"/>
      <c r="R972" s="145"/>
      <c r="S972" s="145"/>
      <c r="T972" s="145"/>
      <c r="U972" s="145"/>
      <c r="V972" s="145"/>
      <c r="W972" s="145"/>
      <c r="X972" s="145"/>
      <c r="Y972" s="145"/>
      <c r="Z972" s="145"/>
    </row>
    <row r="973" spans="1:26" ht="15.75" x14ac:dyDescent="0.25">
      <c r="A973" s="145"/>
      <c r="B973" s="145"/>
      <c r="C973" s="145"/>
      <c r="D973" s="145"/>
      <c r="E973" s="145"/>
      <c r="F973" s="145"/>
      <c r="G973" s="145"/>
      <c r="H973" s="145"/>
      <c r="I973" s="145"/>
      <c r="J973" s="145"/>
      <c r="K973" s="145"/>
      <c r="L973" s="145"/>
      <c r="M973" s="145"/>
      <c r="N973" s="145"/>
      <c r="O973" s="145"/>
      <c r="P973" s="145"/>
      <c r="Q973" s="145"/>
      <c r="R973" s="145"/>
      <c r="S973" s="145"/>
      <c r="T973" s="145"/>
      <c r="U973" s="145"/>
      <c r="V973" s="145"/>
      <c r="W973" s="145"/>
      <c r="X973" s="145"/>
      <c r="Y973" s="145"/>
      <c r="Z973" s="145"/>
    </row>
    <row r="974" spans="1:26" ht="15.75" x14ac:dyDescent="0.25">
      <c r="A974" s="145"/>
      <c r="B974" s="145"/>
      <c r="C974" s="145"/>
      <c r="D974" s="145"/>
      <c r="E974" s="145"/>
      <c r="F974" s="145"/>
      <c r="G974" s="145"/>
      <c r="H974" s="145"/>
      <c r="I974" s="145"/>
      <c r="J974" s="145"/>
      <c r="K974" s="145"/>
      <c r="L974" s="145"/>
      <c r="M974" s="145"/>
      <c r="N974" s="145"/>
      <c r="O974" s="145"/>
      <c r="P974" s="145"/>
      <c r="Q974" s="145"/>
      <c r="R974" s="145"/>
      <c r="S974" s="145"/>
      <c r="T974" s="145"/>
      <c r="U974" s="145"/>
      <c r="V974" s="145"/>
      <c r="W974" s="145"/>
      <c r="X974" s="145"/>
      <c r="Y974" s="145"/>
      <c r="Z974" s="145"/>
    </row>
    <row r="975" spans="1:26" ht="15.75" x14ac:dyDescent="0.25">
      <c r="A975" s="145"/>
      <c r="B975" s="145"/>
      <c r="C975" s="145"/>
      <c r="D975" s="145"/>
      <c r="E975" s="145"/>
      <c r="F975" s="145"/>
      <c r="G975" s="145"/>
      <c r="H975" s="145"/>
      <c r="I975" s="145"/>
      <c r="J975" s="145"/>
      <c r="K975" s="145"/>
      <c r="L975" s="145"/>
      <c r="M975" s="145"/>
      <c r="N975" s="145"/>
      <c r="O975" s="145"/>
      <c r="P975" s="145"/>
      <c r="Q975" s="145"/>
      <c r="R975" s="145"/>
      <c r="S975" s="145"/>
      <c r="T975" s="145"/>
      <c r="U975" s="145"/>
      <c r="V975" s="145"/>
      <c r="W975" s="145"/>
      <c r="X975" s="145"/>
      <c r="Y975" s="145"/>
      <c r="Z975" s="145"/>
    </row>
    <row r="976" spans="1:26" ht="15.75" x14ac:dyDescent="0.25">
      <c r="A976" s="145"/>
      <c r="B976" s="145"/>
      <c r="C976" s="145"/>
      <c r="D976" s="145"/>
      <c r="E976" s="145"/>
      <c r="F976" s="145"/>
      <c r="G976" s="145"/>
      <c r="H976" s="145"/>
      <c r="I976" s="145"/>
      <c r="J976" s="145"/>
      <c r="K976" s="145"/>
      <c r="L976" s="145"/>
      <c r="M976" s="145"/>
      <c r="N976" s="145"/>
      <c r="O976" s="145"/>
      <c r="P976" s="145"/>
      <c r="Q976" s="145"/>
      <c r="R976" s="145"/>
      <c r="S976" s="145"/>
      <c r="T976" s="145"/>
      <c r="U976" s="145"/>
      <c r="V976" s="145"/>
      <c r="W976" s="145"/>
      <c r="X976" s="145"/>
      <c r="Y976" s="145"/>
      <c r="Z976" s="145"/>
    </row>
    <row r="977" spans="1:26" ht="15.75" x14ac:dyDescent="0.25">
      <c r="A977" s="145"/>
      <c r="B977" s="145"/>
      <c r="C977" s="145"/>
      <c r="D977" s="145"/>
      <c r="E977" s="145"/>
      <c r="F977" s="145"/>
      <c r="G977" s="145"/>
      <c r="H977" s="145"/>
      <c r="I977" s="145"/>
      <c r="J977" s="145"/>
      <c r="K977" s="145"/>
      <c r="L977" s="145"/>
      <c r="M977" s="145"/>
      <c r="N977" s="145"/>
      <c r="O977" s="145"/>
      <c r="P977" s="145"/>
      <c r="Q977" s="145"/>
      <c r="R977" s="145"/>
      <c r="S977" s="145"/>
      <c r="T977" s="145"/>
      <c r="U977" s="145"/>
      <c r="V977" s="145"/>
      <c r="W977" s="145"/>
      <c r="X977" s="145"/>
      <c r="Y977" s="145"/>
      <c r="Z977" s="145"/>
    </row>
    <row r="978" spans="1:26" ht="15.75" x14ac:dyDescent="0.25">
      <c r="A978" s="145"/>
      <c r="B978" s="145"/>
      <c r="C978" s="145"/>
      <c r="D978" s="145"/>
      <c r="E978" s="145"/>
      <c r="F978" s="145"/>
      <c r="G978" s="145"/>
      <c r="H978" s="145"/>
      <c r="I978" s="145"/>
      <c r="J978" s="145"/>
      <c r="K978" s="145"/>
      <c r="L978" s="145"/>
      <c r="M978" s="145"/>
      <c r="N978" s="145"/>
      <c r="O978" s="145"/>
      <c r="P978" s="145"/>
      <c r="Q978" s="145"/>
      <c r="R978" s="145"/>
      <c r="S978" s="145"/>
      <c r="T978" s="145"/>
      <c r="U978" s="145"/>
      <c r="V978" s="145"/>
      <c r="W978" s="145"/>
      <c r="X978" s="145"/>
      <c r="Y978" s="145"/>
      <c r="Z978" s="145"/>
    </row>
    <row r="979" spans="1:26" ht="15.75" x14ac:dyDescent="0.25">
      <c r="A979" s="145"/>
      <c r="B979" s="145"/>
      <c r="C979" s="145"/>
      <c r="D979" s="145"/>
      <c r="E979" s="145"/>
      <c r="F979" s="145"/>
      <c r="G979" s="145"/>
      <c r="H979" s="145"/>
      <c r="I979" s="145"/>
      <c r="J979" s="145"/>
      <c r="K979" s="145"/>
      <c r="L979" s="145"/>
      <c r="M979" s="145"/>
      <c r="N979" s="145"/>
      <c r="O979" s="145"/>
      <c r="P979" s="145"/>
      <c r="Q979" s="145"/>
      <c r="R979" s="145"/>
      <c r="S979" s="145"/>
      <c r="T979" s="145"/>
      <c r="U979" s="145"/>
      <c r="V979" s="145"/>
      <c r="W979" s="145"/>
      <c r="X979" s="145"/>
      <c r="Y979" s="145"/>
      <c r="Z979" s="145"/>
    </row>
    <row r="980" spans="1:26" ht="15.75" x14ac:dyDescent="0.25">
      <c r="A980" s="145"/>
      <c r="B980" s="145"/>
      <c r="C980" s="145"/>
      <c r="D980" s="145"/>
      <c r="E980" s="145"/>
      <c r="F980" s="145"/>
      <c r="G980" s="145"/>
      <c r="H980" s="145"/>
      <c r="I980" s="145"/>
      <c r="J980" s="145"/>
      <c r="K980" s="145"/>
      <c r="L980" s="145"/>
      <c r="M980" s="145"/>
      <c r="N980" s="145"/>
      <c r="O980" s="145"/>
      <c r="P980" s="145"/>
      <c r="Q980" s="145"/>
      <c r="R980" s="145"/>
      <c r="S980" s="145"/>
      <c r="T980" s="145"/>
      <c r="U980" s="145"/>
      <c r="V980" s="145"/>
      <c r="W980" s="145"/>
      <c r="X980" s="145"/>
      <c r="Y980" s="145"/>
      <c r="Z980" s="145"/>
    </row>
    <row r="981" spans="1:26" ht="15.75" x14ac:dyDescent="0.25">
      <c r="A981" s="145"/>
      <c r="B981" s="145"/>
      <c r="C981" s="145"/>
      <c r="D981" s="145"/>
      <c r="E981" s="145"/>
      <c r="F981" s="145"/>
      <c r="G981" s="145"/>
      <c r="H981" s="145"/>
      <c r="I981" s="145"/>
      <c r="J981" s="145"/>
      <c r="K981" s="145"/>
      <c r="L981" s="145"/>
      <c r="M981" s="145"/>
      <c r="N981" s="145"/>
      <c r="O981" s="145"/>
      <c r="P981" s="145"/>
      <c r="Q981" s="145"/>
      <c r="R981" s="145"/>
      <c r="S981" s="145"/>
      <c r="T981" s="145"/>
      <c r="U981" s="145"/>
      <c r="V981" s="145"/>
      <c r="W981" s="145"/>
      <c r="X981" s="145"/>
      <c r="Y981" s="145"/>
      <c r="Z981" s="145"/>
    </row>
    <row r="982" spans="1:26" ht="15.75" x14ac:dyDescent="0.25">
      <c r="A982" s="145"/>
      <c r="B982" s="145"/>
      <c r="C982" s="145"/>
      <c r="D982" s="145"/>
      <c r="E982" s="145"/>
      <c r="F982" s="145"/>
      <c r="G982" s="145"/>
      <c r="H982" s="145"/>
      <c r="I982" s="145"/>
      <c r="J982" s="145"/>
      <c r="K982" s="145"/>
      <c r="L982" s="145"/>
      <c r="M982" s="145"/>
      <c r="N982" s="145"/>
      <c r="O982" s="145"/>
      <c r="P982" s="145"/>
      <c r="Q982" s="145"/>
      <c r="R982" s="145"/>
      <c r="S982" s="145"/>
      <c r="T982" s="145"/>
      <c r="U982" s="145"/>
      <c r="V982" s="145"/>
      <c r="W982" s="145"/>
      <c r="X982" s="145"/>
      <c r="Y982" s="145"/>
      <c r="Z982" s="145"/>
    </row>
    <row r="983" spans="1:26" ht="15.75" x14ac:dyDescent="0.25">
      <c r="A983" s="145"/>
      <c r="B983" s="145"/>
      <c r="C983" s="145"/>
      <c r="D983" s="145"/>
      <c r="E983" s="145"/>
      <c r="F983" s="145"/>
      <c r="G983" s="145"/>
      <c r="H983" s="145"/>
      <c r="I983" s="145"/>
      <c r="J983" s="145"/>
      <c r="K983" s="145"/>
      <c r="L983" s="145"/>
      <c r="M983" s="145"/>
      <c r="N983" s="145"/>
      <c r="O983" s="145"/>
      <c r="P983" s="145"/>
      <c r="Q983" s="145"/>
      <c r="R983" s="145"/>
      <c r="S983" s="145"/>
      <c r="T983" s="145"/>
      <c r="U983" s="145"/>
      <c r="V983" s="145"/>
      <c r="W983" s="145"/>
      <c r="X983" s="145"/>
      <c r="Y983" s="145"/>
      <c r="Z983" s="145"/>
    </row>
    <row r="984" spans="1:26" ht="15.75" x14ac:dyDescent="0.25">
      <c r="A984" s="145"/>
      <c r="B984" s="145"/>
      <c r="C984" s="145"/>
      <c r="D984" s="145"/>
      <c r="E984" s="145"/>
      <c r="F984" s="145"/>
      <c r="G984" s="145"/>
      <c r="H984" s="145"/>
      <c r="I984" s="145"/>
      <c r="J984" s="145"/>
      <c r="K984" s="145"/>
      <c r="L984" s="145"/>
      <c r="M984" s="145"/>
      <c r="N984" s="145"/>
      <c r="O984" s="145"/>
      <c r="P984" s="145"/>
      <c r="Q984" s="145"/>
      <c r="R984" s="145"/>
      <c r="S984" s="145"/>
      <c r="T984" s="145"/>
      <c r="U984" s="145"/>
      <c r="V984" s="145"/>
      <c r="W984" s="145"/>
      <c r="X984" s="145"/>
      <c r="Y984" s="145"/>
      <c r="Z984" s="145"/>
    </row>
    <row r="985" spans="1:26" ht="15.75" x14ac:dyDescent="0.25">
      <c r="A985" s="145"/>
      <c r="B985" s="145"/>
      <c r="C985" s="145"/>
      <c r="D985" s="145"/>
      <c r="E985" s="145"/>
      <c r="F985" s="145"/>
      <c r="G985" s="145"/>
      <c r="H985" s="145"/>
      <c r="I985" s="145"/>
      <c r="J985" s="145"/>
      <c r="K985" s="145"/>
      <c r="L985" s="145"/>
      <c r="M985" s="145"/>
      <c r="N985" s="145"/>
      <c r="O985" s="145"/>
      <c r="P985" s="145"/>
      <c r="Q985" s="145"/>
      <c r="R985" s="145"/>
      <c r="S985" s="145"/>
      <c r="T985" s="145"/>
      <c r="U985" s="145"/>
      <c r="V985" s="145"/>
      <c r="W985" s="145"/>
      <c r="X985" s="145"/>
      <c r="Y985" s="145"/>
      <c r="Z985" s="145"/>
    </row>
    <row r="986" spans="1:26" ht="15.75" x14ac:dyDescent="0.25">
      <c r="A986" s="145"/>
      <c r="B986" s="145"/>
      <c r="C986" s="145"/>
      <c r="D986" s="145"/>
      <c r="E986" s="145"/>
      <c r="F986" s="145"/>
      <c r="G986" s="145"/>
      <c r="H986" s="145"/>
      <c r="I986" s="145"/>
      <c r="J986" s="145"/>
      <c r="K986" s="145"/>
      <c r="L986" s="145"/>
      <c r="M986" s="145"/>
      <c r="N986" s="145"/>
      <c r="O986" s="145"/>
      <c r="P986" s="145"/>
      <c r="Q986" s="145"/>
      <c r="R986" s="145"/>
      <c r="S986" s="145"/>
      <c r="T986" s="145"/>
      <c r="U986" s="145"/>
      <c r="V986" s="145"/>
      <c r="W986" s="145"/>
      <c r="X986" s="145"/>
      <c r="Y986" s="145"/>
      <c r="Z986" s="145"/>
    </row>
    <row r="987" spans="1:26" ht="15.75" x14ac:dyDescent="0.25">
      <c r="A987" s="145"/>
      <c r="B987" s="145"/>
      <c r="C987" s="145"/>
      <c r="D987" s="145"/>
      <c r="E987" s="145"/>
      <c r="F987" s="145"/>
      <c r="G987" s="145"/>
      <c r="H987" s="145"/>
      <c r="I987" s="145"/>
      <c r="J987" s="145"/>
      <c r="K987" s="145"/>
      <c r="L987" s="145"/>
      <c r="M987" s="145"/>
      <c r="N987" s="145"/>
      <c r="O987" s="145"/>
      <c r="P987" s="145"/>
      <c r="Q987" s="145"/>
      <c r="R987" s="145"/>
      <c r="S987" s="145"/>
      <c r="T987" s="145"/>
      <c r="U987" s="145"/>
      <c r="V987" s="145"/>
      <c r="W987" s="145"/>
      <c r="X987" s="145"/>
      <c r="Y987" s="145"/>
      <c r="Z987" s="145"/>
    </row>
    <row r="988" spans="1:26" ht="15.75" x14ac:dyDescent="0.25">
      <c r="A988" s="145"/>
      <c r="B988" s="145"/>
      <c r="C988" s="145"/>
      <c r="D988" s="145"/>
      <c r="E988" s="145"/>
      <c r="F988" s="145"/>
      <c r="G988" s="145"/>
      <c r="H988" s="145"/>
      <c r="I988" s="145"/>
      <c r="J988" s="145"/>
      <c r="K988" s="145"/>
      <c r="L988" s="145"/>
      <c r="M988" s="145"/>
      <c r="N988" s="145"/>
      <c r="O988" s="145"/>
      <c r="P988" s="145"/>
      <c r="Q988" s="145"/>
      <c r="R988" s="145"/>
      <c r="S988" s="145"/>
      <c r="T988" s="145"/>
      <c r="U988" s="145"/>
      <c r="V988" s="145"/>
      <c r="W988" s="145"/>
      <c r="X988" s="145"/>
      <c r="Y988" s="145"/>
      <c r="Z988" s="145"/>
    </row>
    <row r="989" spans="1:26" ht="15.75" x14ac:dyDescent="0.25">
      <c r="A989" s="145"/>
      <c r="B989" s="145"/>
      <c r="C989" s="145"/>
      <c r="D989" s="145"/>
      <c r="E989" s="145"/>
      <c r="F989" s="145"/>
      <c r="G989" s="145"/>
      <c r="H989" s="145"/>
      <c r="I989" s="145"/>
      <c r="J989" s="145"/>
      <c r="K989" s="145"/>
      <c r="L989" s="145"/>
      <c r="M989" s="145"/>
      <c r="N989" s="145"/>
      <c r="O989" s="145"/>
      <c r="P989" s="145"/>
      <c r="Q989" s="145"/>
      <c r="R989" s="145"/>
      <c r="S989" s="145"/>
      <c r="T989" s="145"/>
      <c r="U989" s="145"/>
      <c r="V989" s="145"/>
      <c r="W989" s="145"/>
      <c r="X989" s="145"/>
      <c r="Y989" s="145"/>
      <c r="Z989" s="145"/>
    </row>
    <row r="990" spans="1:26" ht="15.75" x14ac:dyDescent="0.25">
      <c r="A990" s="145"/>
      <c r="B990" s="145"/>
      <c r="C990" s="145"/>
      <c r="D990" s="145"/>
      <c r="E990" s="145"/>
      <c r="F990" s="145"/>
      <c r="G990" s="145"/>
      <c r="H990" s="145"/>
      <c r="I990" s="145"/>
      <c r="J990" s="145"/>
      <c r="K990" s="145"/>
      <c r="L990" s="145"/>
      <c r="M990" s="145"/>
      <c r="N990" s="145"/>
      <c r="O990" s="145"/>
      <c r="P990" s="145"/>
      <c r="Q990" s="145"/>
      <c r="R990" s="145"/>
      <c r="S990" s="145"/>
      <c r="T990" s="145"/>
      <c r="U990" s="145"/>
      <c r="V990" s="145"/>
      <c r="W990" s="145"/>
      <c r="X990" s="145"/>
      <c r="Y990" s="145"/>
      <c r="Z990" s="145"/>
    </row>
    <row r="991" spans="1:26" ht="15.75" x14ac:dyDescent="0.25">
      <c r="A991" s="145"/>
      <c r="B991" s="145"/>
      <c r="C991" s="145"/>
      <c r="D991" s="145"/>
      <c r="E991" s="145"/>
      <c r="F991" s="145"/>
      <c r="G991" s="145"/>
      <c r="H991" s="145"/>
      <c r="I991" s="145"/>
      <c r="J991" s="145"/>
      <c r="K991" s="145"/>
      <c r="L991" s="145"/>
      <c r="M991" s="145"/>
      <c r="N991" s="145"/>
      <c r="O991" s="145"/>
      <c r="P991" s="145"/>
      <c r="Q991" s="145"/>
      <c r="R991" s="145"/>
      <c r="S991" s="145"/>
      <c r="T991" s="145"/>
      <c r="U991" s="145"/>
      <c r="V991" s="145"/>
      <c r="W991" s="145"/>
      <c r="X991" s="145"/>
      <c r="Y991" s="145"/>
      <c r="Z991" s="145"/>
    </row>
    <row r="992" spans="1:26" ht="15.75" x14ac:dyDescent="0.25">
      <c r="A992" s="145"/>
      <c r="B992" s="145"/>
      <c r="C992" s="145"/>
      <c r="D992" s="145"/>
      <c r="E992" s="145"/>
      <c r="F992" s="145"/>
      <c r="G992" s="145"/>
      <c r="H992" s="145"/>
      <c r="I992" s="145"/>
      <c r="J992" s="145"/>
      <c r="K992" s="145"/>
      <c r="L992" s="145"/>
      <c r="M992" s="145"/>
      <c r="N992" s="145"/>
      <c r="O992" s="145"/>
      <c r="P992" s="145"/>
      <c r="Q992" s="145"/>
      <c r="R992" s="145"/>
      <c r="S992" s="145"/>
      <c r="T992" s="145"/>
      <c r="U992" s="145"/>
      <c r="V992" s="145"/>
      <c r="W992" s="145"/>
      <c r="X992" s="145"/>
      <c r="Y992" s="145"/>
      <c r="Z992" s="145"/>
    </row>
    <row r="993" spans="1:26" ht="15.75" x14ac:dyDescent="0.25">
      <c r="A993" s="145"/>
      <c r="B993" s="145"/>
      <c r="C993" s="145"/>
      <c r="D993" s="145"/>
      <c r="E993" s="145"/>
      <c r="F993" s="145"/>
      <c r="G993" s="145"/>
      <c r="H993" s="145"/>
      <c r="I993" s="145"/>
      <c r="J993" s="145"/>
      <c r="K993" s="145"/>
      <c r="L993" s="145"/>
      <c r="M993" s="145"/>
      <c r="N993" s="145"/>
      <c r="O993" s="145"/>
      <c r="P993" s="145"/>
      <c r="Q993" s="145"/>
      <c r="R993" s="145"/>
      <c r="S993" s="145"/>
      <c r="T993" s="145"/>
      <c r="U993" s="145"/>
      <c r="V993" s="145"/>
      <c r="W993" s="145"/>
      <c r="X993" s="145"/>
      <c r="Y993" s="145"/>
      <c r="Z993" s="145"/>
    </row>
    <row r="994" spans="1:26" ht="15.75" x14ac:dyDescent="0.25">
      <c r="A994" s="145"/>
      <c r="B994" s="145"/>
      <c r="C994" s="145"/>
      <c r="D994" s="145"/>
      <c r="E994" s="145"/>
      <c r="F994" s="145"/>
      <c r="G994" s="145"/>
      <c r="H994" s="145"/>
      <c r="I994" s="145"/>
      <c r="J994" s="145"/>
      <c r="K994" s="145"/>
      <c r="L994" s="145"/>
      <c r="M994" s="145"/>
      <c r="N994" s="145"/>
      <c r="O994" s="145"/>
      <c r="P994" s="145"/>
      <c r="Q994" s="145"/>
      <c r="R994" s="145"/>
      <c r="S994" s="145"/>
      <c r="T994" s="145"/>
      <c r="U994" s="145"/>
      <c r="V994" s="145"/>
      <c r="W994" s="145"/>
      <c r="X994" s="145"/>
      <c r="Y994" s="145"/>
      <c r="Z994" s="145"/>
    </row>
    <row r="995" spans="1:26" ht="15.75" x14ac:dyDescent="0.25">
      <c r="A995" s="145"/>
      <c r="B995" s="145"/>
      <c r="C995" s="145"/>
      <c r="D995" s="145"/>
      <c r="E995" s="145"/>
      <c r="F995" s="145"/>
      <c r="G995" s="145"/>
      <c r="H995" s="145"/>
      <c r="I995" s="145"/>
      <c r="J995" s="145"/>
      <c r="K995" s="145"/>
      <c r="L995" s="145"/>
      <c r="M995" s="145"/>
      <c r="N995" s="145"/>
      <c r="O995" s="145"/>
      <c r="P995" s="145"/>
      <c r="Q995" s="145"/>
      <c r="R995" s="145"/>
      <c r="S995" s="145"/>
      <c r="T995" s="145"/>
      <c r="U995" s="145"/>
      <c r="V995" s="145"/>
      <c r="W995" s="145"/>
      <c r="X995" s="145"/>
      <c r="Y995" s="145"/>
      <c r="Z995" s="145"/>
    </row>
    <row r="996" spans="1:26" ht="15.75" x14ac:dyDescent="0.25">
      <c r="A996" s="145"/>
      <c r="B996" s="145"/>
      <c r="C996" s="145"/>
      <c r="D996" s="145"/>
      <c r="E996" s="145"/>
      <c r="F996" s="145"/>
      <c r="G996" s="145"/>
      <c r="H996" s="145"/>
      <c r="I996" s="145"/>
      <c r="J996" s="145"/>
      <c r="K996" s="145"/>
      <c r="L996" s="145"/>
      <c r="M996" s="145"/>
      <c r="N996" s="145"/>
      <c r="O996" s="145"/>
      <c r="P996" s="145"/>
      <c r="Q996" s="145"/>
      <c r="R996" s="145"/>
      <c r="S996" s="145"/>
      <c r="T996" s="145"/>
      <c r="U996" s="145"/>
      <c r="V996" s="145"/>
      <c r="W996" s="145"/>
      <c r="X996" s="145"/>
      <c r="Y996" s="145"/>
      <c r="Z996" s="145"/>
    </row>
    <row r="997" spans="1:26" ht="15.75" x14ac:dyDescent="0.25">
      <c r="A997" s="145"/>
      <c r="B997" s="145"/>
      <c r="C997" s="145"/>
      <c r="D997" s="145"/>
      <c r="E997" s="145"/>
      <c r="F997" s="145"/>
      <c r="G997" s="145"/>
      <c r="H997" s="145"/>
      <c r="I997" s="145"/>
      <c r="J997" s="145"/>
      <c r="K997" s="145"/>
      <c r="L997" s="145"/>
      <c r="M997" s="145"/>
      <c r="N997" s="145"/>
      <c r="O997" s="145"/>
      <c r="P997" s="145"/>
      <c r="Q997" s="145"/>
      <c r="R997" s="145"/>
      <c r="S997" s="145"/>
      <c r="T997" s="145"/>
      <c r="U997" s="145"/>
      <c r="V997" s="145"/>
      <c r="W997" s="145"/>
      <c r="X997" s="145"/>
      <c r="Y997" s="145"/>
      <c r="Z997" s="145"/>
    </row>
    <row r="998" spans="1:26" ht="15.75" x14ac:dyDescent="0.25">
      <c r="A998" s="145"/>
      <c r="B998" s="145"/>
      <c r="C998" s="145"/>
      <c r="D998" s="145"/>
      <c r="E998" s="145"/>
      <c r="F998" s="145"/>
      <c r="G998" s="145"/>
      <c r="H998" s="145"/>
      <c r="I998" s="145"/>
      <c r="J998" s="145"/>
      <c r="K998" s="145"/>
      <c r="L998" s="145"/>
      <c r="M998" s="145"/>
      <c r="N998" s="145"/>
      <c r="O998" s="145"/>
      <c r="P998" s="145"/>
      <c r="Q998" s="145"/>
      <c r="R998" s="145"/>
      <c r="S998" s="145"/>
      <c r="T998" s="145"/>
      <c r="U998" s="145"/>
      <c r="V998" s="145"/>
      <c r="W998" s="145"/>
      <c r="X998" s="145"/>
      <c r="Y998" s="145"/>
      <c r="Z998" s="145"/>
    </row>
    <row r="999" spans="1:26" ht="15.75" x14ac:dyDescent="0.25">
      <c r="A999" s="145"/>
      <c r="B999" s="145"/>
      <c r="C999" s="145"/>
      <c r="D999" s="145"/>
      <c r="E999" s="145"/>
      <c r="F999" s="145"/>
      <c r="G999" s="145"/>
      <c r="H999" s="145"/>
      <c r="I999" s="145"/>
      <c r="J999" s="145"/>
      <c r="K999" s="145"/>
      <c r="L999" s="145"/>
      <c r="M999" s="145"/>
      <c r="N999" s="145"/>
      <c r="O999" s="145"/>
      <c r="P999" s="145"/>
      <c r="Q999" s="145"/>
      <c r="R999" s="145"/>
      <c r="S999" s="145"/>
      <c r="T999" s="145"/>
      <c r="U999" s="145"/>
      <c r="V999" s="145"/>
      <c r="W999" s="145"/>
      <c r="X999" s="145"/>
      <c r="Y999" s="145"/>
      <c r="Z999" s="145"/>
    </row>
    <row r="1000" spans="1:26" ht="15.75" x14ac:dyDescent="0.25">
      <c r="A1000" s="145"/>
      <c r="B1000" s="145"/>
      <c r="C1000" s="145"/>
      <c r="D1000" s="145"/>
      <c r="E1000" s="145"/>
      <c r="F1000" s="145"/>
      <c r="G1000" s="145"/>
      <c r="H1000" s="145"/>
      <c r="I1000" s="145"/>
      <c r="J1000" s="145"/>
      <c r="K1000" s="145"/>
      <c r="L1000" s="145"/>
      <c r="M1000" s="145"/>
      <c r="N1000" s="145"/>
      <c r="O1000" s="145"/>
      <c r="P1000" s="145"/>
      <c r="Q1000" s="145"/>
      <c r="R1000" s="145"/>
      <c r="S1000" s="145"/>
      <c r="T1000" s="145"/>
      <c r="U1000" s="145"/>
      <c r="V1000" s="145"/>
      <c r="W1000" s="145"/>
      <c r="X1000" s="145"/>
      <c r="Y1000" s="145"/>
      <c r="Z1000" s="145"/>
    </row>
    <row r="1001" spans="1:26" ht="15.75" x14ac:dyDescent="0.25">
      <c r="A1001" s="145"/>
      <c r="B1001" s="145"/>
      <c r="C1001" s="145"/>
      <c r="D1001" s="145"/>
      <c r="E1001" s="145"/>
      <c r="F1001" s="145"/>
      <c r="G1001" s="145"/>
      <c r="H1001" s="145"/>
      <c r="I1001" s="145"/>
      <c r="J1001" s="145"/>
      <c r="K1001" s="145"/>
      <c r="L1001" s="145"/>
      <c r="M1001" s="145"/>
      <c r="N1001" s="145"/>
      <c r="O1001" s="145"/>
      <c r="P1001" s="145"/>
      <c r="Q1001" s="145"/>
      <c r="R1001" s="145"/>
      <c r="S1001" s="145"/>
      <c r="T1001" s="145"/>
      <c r="U1001" s="145"/>
      <c r="V1001" s="145"/>
      <c r="W1001" s="145"/>
      <c r="X1001" s="145"/>
      <c r="Y1001" s="145"/>
      <c r="Z1001" s="145"/>
    </row>
    <row r="1002" spans="1:26" ht="15.75" x14ac:dyDescent="0.25">
      <c r="A1002" s="145"/>
      <c r="B1002" s="145"/>
      <c r="C1002" s="145"/>
      <c r="D1002" s="145"/>
      <c r="E1002" s="145"/>
      <c r="F1002" s="145"/>
      <c r="G1002" s="145"/>
      <c r="H1002" s="145"/>
      <c r="I1002" s="145"/>
      <c r="J1002" s="145"/>
      <c r="K1002" s="145"/>
      <c r="L1002" s="145"/>
      <c r="M1002" s="145"/>
      <c r="N1002" s="145"/>
      <c r="O1002" s="145"/>
      <c r="P1002" s="145"/>
      <c r="Q1002" s="145"/>
      <c r="R1002" s="145"/>
      <c r="S1002" s="145"/>
      <c r="T1002" s="145"/>
      <c r="U1002" s="145"/>
      <c r="V1002" s="145"/>
      <c r="W1002" s="145"/>
      <c r="X1002" s="145"/>
      <c r="Y1002" s="145"/>
      <c r="Z1002" s="145"/>
    </row>
    <row r="1003" spans="1:26" ht="15.75" x14ac:dyDescent="0.25">
      <c r="A1003" s="145"/>
      <c r="B1003" s="145"/>
      <c r="C1003" s="145"/>
      <c r="D1003" s="145"/>
      <c r="E1003" s="145"/>
      <c r="F1003" s="145"/>
      <c r="G1003" s="145"/>
      <c r="H1003" s="145"/>
      <c r="I1003" s="145"/>
      <c r="J1003" s="145"/>
      <c r="K1003" s="145"/>
      <c r="L1003" s="145"/>
      <c r="M1003" s="145"/>
      <c r="N1003" s="145"/>
      <c r="O1003" s="145"/>
      <c r="P1003" s="145"/>
      <c r="Q1003" s="145"/>
      <c r="R1003" s="145"/>
      <c r="S1003" s="145"/>
      <c r="T1003" s="145"/>
      <c r="U1003" s="145"/>
      <c r="V1003" s="145"/>
      <c r="W1003" s="145"/>
      <c r="X1003" s="145"/>
      <c r="Y1003" s="145"/>
      <c r="Z1003" s="145"/>
    </row>
    <row r="1004" spans="1:26" ht="15.75" x14ac:dyDescent="0.25">
      <c r="A1004" s="145"/>
      <c r="B1004" s="145"/>
      <c r="C1004" s="145"/>
      <c r="D1004" s="145"/>
      <c r="E1004" s="145"/>
      <c r="F1004" s="145"/>
      <c r="G1004" s="145"/>
      <c r="H1004" s="145"/>
      <c r="I1004" s="145"/>
      <c r="J1004" s="145"/>
      <c r="K1004" s="145"/>
      <c r="L1004" s="145"/>
      <c r="M1004" s="145"/>
      <c r="N1004" s="145"/>
      <c r="O1004" s="145"/>
      <c r="P1004" s="145"/>
      <c r="Q1004" s="145"/>
      <c r="R1004" s="145"/>
      <c r="S1004" s="145"/>
      <c r="T1004" s="145"/>
      <c r="U1004" s="145"/>
      <c r="V1004" s="145"/>
      <c r="W1004" s="145"/>
      <c r="X1004" s="145"/>
      <c r="Y1004" s="145"/>
      <c r="Z1004" s="145"/>
    </row>
    <row r="1005" spans="1:26" ht="15.75" x14ac:dyDescent="0.25">
      <c r="A1005" s="145"/>
      <c r="B1005" s="145"/>
      <c r="C1005" s="145"/>
      <c r="D1005" s="145"/>
      <c r="E1005" s="145"/>
      <c r="F1005" s="145"/>
      <c r="G1005" s="145"/>
      <c r="H1005" s="145"/>
      <c r="I1005" s="145"/>
      <c r="J1005" s="145"/>
      <c r="K1005" s="145"/>
      <c r="L1005" s="145"/>
      <c r="M1005" s="145"/>
      <c r="N1005" s="145"/>
      <c r="O1005" s="145"/>
      <c r="P1005" s="145"/>
      <c r="Q1005" s="145"/>
      <c r="R1005" s="145"/>
      <c r="S1005" s="145"/>
      <c r="T1005" s="145"/>
      <c r="U1005" s="145"/>
      <c r="V1005" s="145"/>
      <c r="W1005" s="145"/>
      <c r="X1005" s="145"/>
      <c r="Y1005" s="145"/>
      <c r="Z1005" s="145"/>
    </row>
    <row r="1006" spans="1:26" ht="15.75" x14ac:dyDescent="0.25">
      <c r="A1006" s="145"/>
      <c r="B1006" s="145"/>
      <c r="C1006" s="145"/>
      <c r="D1006" s="145"/>
      <c r="E1006" s="145"/>
      <c r="F1006" s="145"/>
      <c r="G1006" s="145"/>
      <c r="H1006" s="145"/>
      <c r="I1006" s="145"/>
      <c r="J1006" s="145"/>
      <c r="K1006" s="145"/>
      <c r="L1006" s="145"/>
      <c r="M1006" s="145"/>
      <c r="N1006" s="145"/>
      <c r="O1006" s="145"/>
      <c r="P1006" s="145"/>
      <c r="Q1006" s="145"/>
      <c r="R1006" s="145"/>
      <c r="S1006" s="145"/>
      <c r="T1006" s="145"/>
      <c r="U1006" s="145"/>
      <c r="V1006" s="145"/>
      <c r="W1006" s="145"/>
      <c r="X1006" s="145"/>
      <c r="Y1006" s="145"/>
      <c r="Z1006" s="145"/>
    </row>
    <row r="1007" spans="1:26" ht="15.75" x14ac:dyDescent="0.25">
      <c r="A1007" s="145"/>
      <c r="B1007" s="145"/>
      <c r="C1007" s="145"/>
      <c r="D1007" s="145"/>
      <c r="E1007" s="145"/>
      <c r="F1007" s="145"/>
      <c r="G1007" s="145"/>
      <c r="H1007" s="145"/>
      <c r="I1007" s="145"/>
      <c r="J1007" s="145"/>
      <c r="K1007" s="145"/>
      <c r="L1007" s="145"/>
      <c r="M1007" s="145"/>
      <c r="N1007" s="145"/>
      <c r="O1007" s="145"/>
      <c r="P1007" s="145"/>
      <c r="Q1007" s="145"/>
      <c r="R1007" s="145"/>
      <c r="S1007" s="145"/>
      <c r="T1007" s="145"/>
      <c r="U1007" s="145"/>
      <c r="V1007" s="145"/>
      <c r="W1007" s="145"/>
      <c r="X1007" s="145"/>
      <c r="Y1007" s="145"/>
      <c r="Z1007" s="145"/>
    </row>
    <row r="1008" spans="1:26" ht="15.75" x14ac:dyDescent="0.25">
      <c r="A1008" s="145"/>
      <c r="B1008" s="145"/>
      <c r="C1008" s="145"/>
      <c r="D1008" s="145"/>
      <c r="E1008" s="145"/>
      <c r="F1008" s="145"/>
      <c r="G1008" s="145"/>
      <c r="H1008" s="145"/>
      <c r="I1008" s="145"/>
      <c r="J1008" s="145"/>
      <c r="K1008" s="145"/>
      <c r="L1008" s="145"/>
      <c r="M1008" s="145"/>
      <c r="N1008" s="145"/>
      <c r="O1008" s="145"/>
      <c r="P1008" s="145"/>
      <c r="Q1008" s="145"/>
      <c r="R1008" s="145"/>
      <c r="S1008" s="145"/>
      <c r="T1008" s="145"/>
      <c r="U1008" s="145"/>
      <c r="V1008" s="145"/>
      <c r="W1008" s="145"/>
      <c r="X1008" s="145"/>
      <c r="Y1008" s="145"/>
      <c r="Z1008" s="145"/>
    </row>
    <row r="1009" spans="1:26" ht="15.75" x14ac:dyDescent="0.25">
      <c r="A1009" s="145"/>
      <c r="B1009" s="145"/>
      <c r="C1009" s="145"/>
      <c r="D1009" s="145"/>
      <c r="E1009" s="145"/>
      <c r="F1009" s="145"/>
      <c r="G1009" s="145"/>
      <c r="H1009" s="145"/>
      <c r="I1009" s="145"/>
      <c r="J1009" s="145"/>
      <c r="K1009" s="145"/>
      <c r="L1009" s="145"/>
      <c r="M1009" s="145"/>
      <c r="N1009" s="145"/>
      <c r="O1009" s="145"/>
      <c r="P1009" s="145"/>
      <c r="Q1009" s="145"/>
      <c r="R1009" s="145"/>
      <c r="S1009" s="145"/>
      <c r="T1009" s="145"/>
      <c r="U1009" s="145"/>
      <c r="V1009" s="145"/>
      <c r="W1009" s="145"/>
      <c r="X1009" s="145"/>
      <c r="Y1009" s="145"/>
      <c r="Z1009" s="145"/>
    </row>
  </sheetData>
  <mergeCells count="49">
    <mergeCell ref="A20:E20"/>
    <mergeCell ref="A4:H4"/>
    <mergeCell ref="A9:H9"/>
    <mergeCell ref="A10:E10"/>
    <mergeCell ref="A11:E11"/>
    <mergeCell ref="A12:E12"/>
    <mergeCell ref="A13:E13"/>
    <mergeCell ref="A14:E14"/>
    <mergeCell ref="A15:E15"/>
    <mergeCell ref="A16:E16"/>
    <mergeCell ref="A18:E18"/>
    <mergeCell ref="A19:E19"/>
    <mergeCell ref="A34:E34"/>
    <mergeCell ref="A21:E21"/>
    <mergeCell ref="A22:E22"/>
    <mergeCell ref="A23:E23"/>
    <mergeCell ref="A24:E24"/>
    <mergeCell ref="A27:E27"/>
    <mergeCell ref="A28:E28"/>
    <mergeCell ref="A29:E29"/>
    <mergeCell ref="A30:E30"/>
    <mergeCell ref="A31:E31"/>
    <mergeCell ref="A32:E32"/>
    <mergeCell ref="A33:E33"/>
    <mergeCell ref="A82:D82"/>
    <mergeCell ref="A35:E35"/>
    <mergeCell ref="A36:E36"/>
    <mergeCell ref="A37:E37"/>
    <mergeCell ref="A38:E38"/>
    <mergeCell ref="A42:B42"/>
    <mergeCell ref="C42:D42"/>
    <mergeCell ref="E42:K42"/>
    <mergeCell ref="L42:N42"/>
    <mergeCell ref="P42:R42"/>
    <mergeCell ref="A78:D78"/>
    <mergeCell ref="A79:D79"/>
    <mergeCell ref="A80:D80"/>
    <mergeCell ref="A117:C117"/>
    <mergeCell ref="A83:D83"/>
    <mergeCell ref="A87:C87"/>
    <mergeCell ref="A88:C88"/>
    <mergeCell ref="A89:C89"/>
    <mergeCell ref="A90:C90"/>
    <mergeCell ref="A91:C91"/>
    <mergeCell ref="A95:C95"/>
    <mergeCell ref="A96:C96"/>
    <mergeCell ref="A97:C97"/>
    <mergeCell ref="A98:C98"/>
    <mergeCell ref="A116:C116"/>
  </mergeCells>
  <hyperlinks>
    <hyperlink ref="I89" r:id="rId1" xr:uid="{66C2B38B-7C76-4084-A4AE-E0EA414565A9}"/>
    <hyperlink ref="I87" r:id="rId2" location="fi_id7000000778" display="https://co2data.fi/rakentaminen/ - fi_id7000000778" xr:uid="{4235A1D0-FF4E-4626-AA78-70E58B9F7F42}"/>
    <hyperlink ref="I88" r:id="rId3" location="fi_id7000000763" display="https://co2data.fi/rakentaminen/ - fi_id7000000763" xr:uid="{A4CB8B9A-6020-471C-8032-817FAD788733}"/>
    <hyperlink ref="I91" r:id="rId4" xr:uid="{243FA50B-6064-4E2B-B2B5-A82E034F5B2A}"/>
  </hyperlinks>
  <pageMargins left="0.7" right="0.7" top="0.75" bottom="0.75" header="0.3" footer="0.3"/>
  <drawing r:id="rId5"/>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6A564-D884-48E2-91F6-57326BC7F8E7}">
  <sheetPr>
    <outlinePr summaryBelow="0" summaryRight="0"/>
  </sheetPr>
  <dimension ref="A1:AD1009"/>
  <sheetViews>
    <sheetView showGridLines="0" topLeftCell="A4" zoomScale="60" zoomScaleNormal="60" workbookViewId="0">
      <selection activeCell="A5" sqref="A5"/>
    </sheetView>
  </sheetViews>
  <sheetFormatPr defaultColWidth="14.5703125" defaultRowHeight="15" customHeight="1" x14ac:dyDescent="0.25"/>
  <cols>
    <col min="1" max="2" width="11.5703125" style="147" customWidth="1"/>
    <col min="3" max="3" width="11.140625" style="147" customWidth="1"/>
    <col min="4" max="4" width="14.140625" style="147" customWidth="1"/>
    <col min="5" max="5" width="12.5703125" style="147" customWidth="1"/>
    <col min="6" max="6" width="11.42578125" style="147" customWidth="1"/>
    <col min="7" max="7" width="11.140625" style="147" customWidth="1"/>
    <col min="8" max="8" width="13.5703125" style="147" customWidth="1"/>
    <col min="9" max="9" width="13.85546875" style="147" customWidth="1"/>
    <col min="10" max="10" width="13.7109375" style="147" customWidth="1"/>
    <col min="11" max="11" width="13.5703125" style="147" customWidth="1"/>
    <col min="12" max="12" width="9.85546875" style="147" customWidth="1"/>
    <col min="13" max="13" width="13.5703125" style="147" customWidth="1"/>
    <col min="14" max="14" width="14.28515625" style="147" customWidth="1"/>
    <col min="15" max="15" width="14.140625" style="147" customWidth="1"/>
    <col min="16" max="16" width="13.140625" style="147" customWidth="1"/>
    <col min="17" max="17" width="14.5703125" style="147" customWidth="1"/>
    <col min="18" max="16384" width="14.5703125" style="147"/>
  </cols>
  <sheetData>
    <row r="1" spans="1:26" ht="15.75" x14ac:dyDescent="0.25">
      <c r="A1" s="143" t="s">
        <v>263</v>
      </c>
      <c r="B1" s="144"/>
      <c r="C1" s="144"/>
      <c r="D1" s="144"/>
      <c r="E1" s="145"/>
      <c r="F1" s="145"/>
      <c r="G1" s="145"/>
      <c r="H1" s="145"/>
      <c r="I1" s="145"/>
      <c r="J1" s="145"/>
      <c r="K1" s="145"/>
      <c r="L1" s="145"/>
      <c r="M1" s="145"/>
      <c r="N1" s="145"/>
      <c r="O1" s="145"/>
      <c r="P1" s="145"/>
      <c r="Q1" s="145"/>
      <c r="R1" s="145"/>
      <c r="S1" s="145"/>
      <c r="T1" s="145"/>
      <c r="U1" s="145"/>
      <c r="V1" s="145"/>
      <c r="W1" s="145"/>
      <c r="X1" s="145"/>
      <c r="Y1" s="145"/>
      <c r="Z1" s="145"/>
    </row>
    <row r="2" spans="1:26" ht="15.75" x14ac:dyDescent="0.25">
      <c r="A2" s="145" t="s">
        <v>153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row>
    <row r="3" spans="1:26" ht="15.75" x14ac:dyDescent="0.25">
      <c r="A3" s="252" t="s">
        <v>279</v>
      </c>
      <c r="B3" s="145"/>
      <c r="C3" s="145"/>
      <c r="D3" s="145"/>
      <c r="E3" s="145"/>
      <c r="F3" s="145"/>
      <c r="G3" s="145"/>
      <c r="H3" s="145"/>
      <c r="I3" s="145"/>
      <c r="J3" s="145"/>
      <c r="K3" s="145"/>
      <c r="L3" s="145"/>
      <c r="M3" s="145"/>
      <c r="N3" s="145"/>
      <c r="O3" s="145"/>
      <c r="P3" s="145"/>
      <c r="Q3" s="145"/>
      <c r="R3" s="145"/>
      <c r="S3" s="145"/>
      <c r="T3" s="145"/>
      <c r="U3" s="145"/>
      <c r="V3" s="145"/>
      <c r="W3" s="145"/>
      <c r="X3" s="145"/>
      <c r="Y3" s="145"/>
      <c r="Z3" s="145"/>
    </row>
    <row r="4" spans="1:26" ht="57.6" customHeight="1" x14ac:dyDescent="0.25">
      <c r="A4" s="422" t="s">
        <v>251</v>
      </c>
      <c r="B4" s="423"/>
      <c r="C4" s="423"/>
      <c r="D4" s="423"/>
      <c r="E4" s="423"/>
      <c r="F4" s="423"/>
      <c r="G4" s="423"/>
      <c r="H4" s="423"/>
      <c r="I4" s="145"/>
      <c r="J4" s="145"/>
      <c r="K4" s="145"/>
      <c r="L4" s="145"/>
      <c r="M4" s="145"/>
      <c r="N4" s="145"/>
      <c r="O4" s="145"/>
      <c r="P4" s="145"/>
      <c r="Q4" s="145"/>
      <c r="R4" s="145"/>
      <c r="S4" s="145"/>
      <c r="T4" s="145"/>
      <c r="U4" s="145"/>
      <c r="V4" s="145"/>
      <c r="W4" s="145"/>
      <c r="X4" s="145"/>
      <c r="Y4" s="145"/>
      <c r="Z4" s="145"/>
    </row>
    <row r="5" spans="1:26" ht="15.75" customHeight="1" x14ac:dyDescent="0.25">
      <c r="A5" s="148"/>
      <c r="B5" s="145"/>
      <c r="C5" s="145"/>
      <c r="D5" s="145"/>
      <c r="E5" s="145"/>
      <c r="F5" s="145"/>
      <c r="G5" s="145"/>
      <c r="H5" s="145"/>
      <c r="I5" s="145"/>
      <c r="J5" s="145"/>
      <c r="K5" s="145"/>
      <c r="L5" s="145"/>
      <c r="M5" s="145"/>
      <c r="N5" s="145"/>
      <c r="O5" s="145"/>
      <c r="P5" s="145"/>
      <c r="Q5" s="145"/>
      <c r="R5" s="145"/>
      <c r="S5" s="145"/>
      <c r="T5" s="145"/>
      <c r="U5" s="145"/>
      <c r="V5" s="145"/>
      <c r="W5" s="145"/>
      <c r="X5" s="145"/>
      <c r="Y5" s="145"/>
      <c r="Z5" s="145"/>
    </row>
    <row r="6" spans="1:26" ht="15.75" customHeight="1" x14ac:dyDescent="0.25">
      <c r="A6" s="148" t="s">
        <v>0</v>
      </c>
      <c r="B6" s="145"/>
      <c r="C6" s="145"/>
      <c r="D6" s="145"/>
      <c r="E6" s="145"/>
      <c r="F6" s="145"/>
      <c r="G6" s="145"/>
      <c r="H6" s="145"/>
      <c r="I6" s="145"/>
      <c r="J6" s="145"/>
      <c r="K6" s="145"/>
      <c r="L6" s="145"/>
      <c r="M6" s="145"/>
      <c r="N6" s="145"/>
      <c r="O6" s="145"/>
      <c r="P6" s="145"/>
      <c r="Q6" s="145"/>
      <c r="R6" s="145"/>
      <c r="S6" s="145"/>
      <c r="T6" s="145"/>
      <c r="U6" s="145"/>
      <c r="V6" s="145"/>
      <c r="W6" s="145"/>
      <c r="X6" s="145"/>
      <c r="Y6" s="145"/>
      <c r="Z6" s="145"/>
    </row>
    <row r="7" spans="1:26" ht="15.75" customHeight="1" x14ac:dyDescent="0.25">
      <c r="A7" s="149" t="s">
        <v>1</v>
      </c>
      <c r="B7" s="145"/>
      <c r="C7" s="145"/>
      <c r="D7" s="145"/>
      <c r="E7" s="145"/>
      <c r="F7" s="145"/>
      <c r="G7" s="145"/>
      <c r="H7" s="145"/>
      <c r="I7" s="145"/>
      <c r="J7" s="145"/>
      <c r="K7" s="145"/>
      <c r="L7" s="145"/>
      <c r="M7" s="145"/>
      <c r="N7" s="145"/>
      <c r="O7" s="145"/>
      <c r="P7" s="145"/>
      <c r="Q7" s="145"/>
      <c r="R7" s="145"/>
      <c r="S7" s="145"/>
      <c r="T7" s="145"/>
      <c r="U7" s="145"/>
      <c r="V7" s="145"/>
      <c r="W7" s="145"/>
      <c r="X7" s="145"/>
      <c r="Y7" s="145"/>
      <c r="Z7" s="145"/>
    </row>
    <row r="8" spans="1:26" ht="15.75" x14ac:dyDescent="0.25">
      <c r="A8" s="150"/>
      <c r="B8" s="150"/>
      <c r="C8" s="150"/>
      <c r="D8" s="150"/>
      <c r="E8" s="150"/>
      <c r="F8" s="150"/>
      <c r="G8" s="145"/>
      <c r="H8" s="145"/>
      <c r="I8" s="145"/>
      <c r="J8" s="145"/>
      <c r="K8" s="145"/>
      <c r="L8" s="145"/>
      <c r="M8" s="145"/>
      <c r="N8" s="145"/>
      <c r="O8" s="145"/>
      <c r="P8" s="145"/>
      <c r="Q8" s="145"/>
      <c r="R8" s="145"/>
      <c r="S8" s="145"/>
      <c r="T8" s="145"/>
      <c r="U8" s="145"/>
      <c r="V8" s="145"/>
      <c r="W8" s="145"/>
      <c r="X8" s="145"/>
      <c r="Y8" s="145"/>
      <c r="Z8" s="145"/>
    </row>
    <row r="9" spans="1:26" ht="15.75" x14ac:dyDescent="0.25">
      <c r="A9" s="424" t="s">
        <v>154</v>
      </c>
      <c r="B9" s="423"/>
      <c r="C9" s="423"/>
      <c r="D9" s="423"/>
      <c r="E9" s="423"/>
      <c r="F9" s="423"/>
      <c r="G9" s="423"/>
      <c r="H9" s="423"/>
      <c r="I9" s="145"/>
      <c r="J9" s="145"/>
      <c r="K9" s="145"/>
      <c r="L9" s="145"/>
      <c r="M9" s="145"/>
      <c r="N9" s="145"/>
      <c r="O9" s="145"/>
      <c r="P9" s="145"/>
      <c r="Q9" s="145"/>
      <c r="R9" s="145"/>
      <c r="S9" s="145"/>
      <c r="T9" s="145"/>
      <c r="U9" s="145"/>
      <c r="V9" s="145"/>
      <c r="W9" s="145"/>
      <c r="X9" s="145"/>
      <c r="Y9" s="145"/>
      <c r="Z9" s="145"/>
    </row>
    <row r="10" spans="1:26" ht="15.75" customHeight="1" x14ac:dyDescent="0.25">
      <c r="A10" s="425" t="s">
        <v>2</v>
      </c>
      <c r="B10" s="395"/>
      <c r="C10" s="395"/>
      <c r="D10" s="395"/>
      <c r="E10" s="396"/>
      <c r="F10" s="151">
        <f>(5)</f>
        <v>5</v>
      </c>
      <c r="G10" s="145" t="s">
        <v>3</v>
      </c>
      <c r="H10" s="145" t="s">
        <v>155</v>
      </c>
      <c r="I10" s="145"/>
      <c r="J10" s="145"/>
      <c r="K10" s="145"/>
      <c r="L10" s="145"/>
      <c r="M10" s="145"/>
      <c r="N10" s="145"/>
      <c r="O10" s="145"/>
      <c r="P10" s="145"/>
      <c r="Q10" s="145"/>
      <c r="R10" s="145"/>
      <c r="S10" s="145"/>
      <c r="T10" s="145"/>
      <c r="U10" s="145"/>
      <c r="V10" s="145"/>
      <c r="W10" s="145"/>
      <c r="X10" s="145"/>
      <c r="Y10" s="145"/>
      <c r="Z10" s="145"/>
    </row>
    <row r="11" spans="1:26" ht="15.75" customHeight="1" x14ac:dyDescent="0.25">
      <c r="A11" s="425" t="s">
        <v>156</v>
      </c>
      <c r="B11" s="395"/>
      <c r="C11" s="395"/>
      <c r="D11" s="395"/>
      <c r="E11" s="396"/>
      <c r="F11" s="151">
        <f>(4)</f>
        <v>4</v>
      </c>
      <c r="G11" s="145" t="s">
        <v>3</v>
      </c>
      <c r="H11" s="145" t="s">
        <v>157</v>
      </c>
      <c r="I11" s="145"/>
      <c r="J11" s="145"/>
      <c r="K11" s="145"/>
      <c r="L11" s="145"/>
      <c r="M11" s="145"/>
      <c r="N11" s="145"/>
      <c r="O11" s="145"/>
      <c r="P11" s="145"/>
      <c r="Q11" s="145"/>
      <c r="R11" s="145"/>
      <c r="S11" s="145"/>
      <c r="T11" s="145"/>
      <c r="U11" s="145"/>
      <c r="V11" s="145"/>
      <c r="W11" s="145"/>
      <c r="X11" s="145"/>
      <c r="Y11" s="145"/>
      <c r="Z11" s="145"/>
    </row>
    <row r="12" spans="1:26" ht="15.75" customHeight="1" x14ac:dyDescent="0.25">
      <c r="A12" s="425" t="s">
        <v>5</v>
      </c>
      <c r="B12" s="395"/>
      <c r="C12" s="395"/>
      <c r="D12" s="395"/>
      <c r="E12" s="396"/>
      <c r="F12" s="152">
        <v>2.2530000000000001</v>
      </c>
      <c r="G12" s="145" t="s">
        <v>3</v>
      </c>
      <c r="H12" s="145" t="s">
        <v>158</v>
      </c>
      <c r="I12" s="145"/>
      <c r="J12" s="145"/>
      <c r="K12" s="145"/>
      <c r="L12" s="145"/>
      <c r="M12" s="145"/>
      <c r="N12" s="145"/>
      <c r="O12" s="145"/>
      <c r="P12" s="145"/>
      <c r="Q12" s="145"/>
      <c r="R12" s="145"/>
      <c r="S12" s="145"/>
      <c r="T12" s="145"/>
      <c r="U12" s="145"/>
      <c r="V12" s="145"/>
      <c r="W12" s="145"/>
      <c r="X12" s="145"/>
      <c r="Y12" s="145"/>
      <c r="Z12" s="145"/>
    </row>
    <row r="13" spans="1:26" ht="15.75" customHeight="1" x14ac:dyDescent="0.25">
      <c r="A13" s="425" t="s">
        <v>7</v>
      </c>
      <c r="B13" s="395"/>
      <c r="C13" s="395"/>
      <c r="D13" s="395"/>
      <c r="E13" s="396"/>
      <c r="F13" s="325">
        <v>0.255</v>
      </c>
      <c r="G13" s="145"/>
      <c r="H13" s="145" t="s">
        <v>272</v>
      </c>
      <c r="I13" s="145"/>
      <c r="J13" s="145"/>
      <c r="K13" s="145"/>
      <c r="L13" s="145"/>
      <c r="M13" s="145"/>
      <c r="N13" s="145"/>
      <c r="O13" s="145"/>
      <c r="P13" s="145"/>
      <c r="Q13" s="145"/>
      <c r="R13" s="145"/>
      <c r="S13" s="145"/>
      <c r="T13" s="145"/>
      <c r="U13" s="145"/>
      <c r="V13" s="145"/>
      <c r="W13" s="145"/>
      <c r="X13" s="145"/>
      <c r="Y13" s="145"/>
      <c r="Z13" s="145"/>
    </row>
    <row r="14" spans="1:26" ht="15.75" customHeight="1" x14ac:dyDescent="0.25">
      <c r="A14" s="412" t="s">
        <v>159</v>
      </c>
      <c r="B14" s="395"/>
      <c r="C14" s="395"/>
      <c r="D14" s="395"/>
      <c r="E14" s="396"/>
      <c r="F14" s="324">
        <f>(F10+F11+F12)*(1+F13)</f>
        <v>14.122514999999998</v>
      </c>
      <c r="G14" s="145" t="s">
        <v>3</v>
      </c>
      <c r="H14" s="145"/>
      <c r="I14" s="145"/>
      <c r="J14" s="145"/>
      <c r="K14" s="145"/>
      <c r="L14" s="145"/>
      <c r="M14" s="145"/>
      <c r="N14" s="145"/>
      <c r="O14" s="145"/>
      <c r="P14" s="145"/>
      <c r="Q14" s="145"/>
      <c r="R14" s="145"/>
      <c r="S14" s="145"/>
      <c r="T14" s="145"/>
      <c r="U14" s="145"/>
      <c r="V14" s="145"/>
      <c r="W14" s="145"/>
      <c r="X14" s="145"/>
      <c r="Y14" s="145"/>
      <c r="Z14" s="145"/>
    </row>
    <row r="15" spans="1:26" ht="15.75" customHeight="1" x14ac:dyDescent="0.25">
      <c r="A15" s="414" t="s">
        <v>160</v>
      </c>
      <c r="B15" s="408"/>
      <c r="C15" s="408"/>
      <c r="D15" s="408"/>
      <c r="E15" s="409"/>
      <c r="F15" s="153">
        <v>0.01</v>
      </c>
      <c r="G15" s="145" t="s">
        <v>161</v>
      </c>
      <c r="H15" s="145" t="s">
        <v>162</v>
      </c>
      <c r="I15" s="145"/>
      <c r="J15" s="145"/>
      <c r="K15" s="145"/>
      <c r="L15" s="145"/>
      <c r="M15" s="145"/>
      <c r="N15" s="145"/>
      <c r="O15" s="145"/>
      <c r="P15" s="145"/>
      <c r="Q15" s="145"/>
      <c r="R15" s="145"/>
      <c r="S15" s="145"/>
      <c r="T15" s="145"/>
      <c r="U15" s="145"/>
      <c r="V15" s="145"/>
      <c r="W15" s="145"/>
      <c r="X15" s="145"/>
      <c r="Y15" s="145"/>
      <c r="Z15" s="145"/>
    </row>
    <row r="16" spans="1:26" ht="15.75" customHeight="1" x14ac:dyDescent="0.25">
      <c r="A16" s="426" t="s">
        <v>163</v>
      </c>
      <c r="B16" s="426"/>
      <c r="C16" s="426"/>
      <c r="D16" s="426"/>
      <c r="E16" s="426"/>
      <c r="F16" s="277">
        <f>(7500+4800)</f>
        <v>12300</v>
      </c>
      <c r="G16" s="150" t="s">
        <v>10</v>
      </c>
      <c r="H16" s="145"/>
      <c r="I16" s="145"/>
      <c r="J16" s="145"/>
      <c r="K16" s="145"/>
      <c r="L16" s="145"/>
      <c r="M16" s="145"/>
      <c r="N16" s="145"/>
      <c r="O16" s="145"/>
      <c r="P16" s="145"/>
      <c r="Q16" s="145"/>
      <c r="R16" s="145"/>
      <c r="S16" s="145"/>
      <c r="T16" s="145"/>
      <c r="U16" s="145"/>
      <c r="V16" s="145"/>
      <c r="W16" s="145"/>
      <c r="X16" s="145"/>
      <c r="Y16" s="145"/>
      <c r="Z16" s="145"/>
    </row>
    <row r="17" spans="1:26" ht="15.75" customHeight="1" x14ac:dyDescent="0.25">
      <c r="A17" s="154" t="s">
        <v>164</v>
      </c>
      <c r="B17" s="150"/>
      <c r="C17" s="150"/>
      <c r="F17" s="150"/>
      <c r="G17" s="150"/>
      <c r="H17" s="145"/>
      <c r="I17" s="145"/>
      <c r="J17" s="145"/>
      <c r="K17" s="145"/>
      <c r="L17" s="145"/>
      <c r="M17" s="145"/>
      <c r="N17" s="145"/>
      <c r="O17" s="145"/>
      <c r="P17" s="145"/>
      <c r="Q17" s="145"/>
      <c r="R17" s="145"/>
      <c r="S17" s="145"/>
      <c r="T17" s="145"/>
      <c r="U17" s="145"/>
      <c r="V17" s="145"/>
      <c r="W17" s="145"/>
      <c r="X17" s="145"/>
      <c r="Y17" s="145"/>
      <c r="Z17" s="145"/>
    </row>
    <row r="18" spans="1:26" ht="15.75" x14ac:dyDescent="0.25">
      <c r="A18" s="399" t="s">
        <v>165</v>
      </c>
      <c r="B18" s="395"/>
      <c r="C18" s="395"/>
      <c r="D18" s="395"/>
      <c r="E18" s="396"/>
      <c r="F18" s="151">
        <v>4.95</v>
      </c>
      <c r="G18" s="155" t="s">
        <v>12</v>
      </c>
      <c r="I18" s="145"/>
      <c r="J18" s="145"/>
      <c r="K18" s="145"/>
      <c r="L18" s="145"/>
      <c r="M18" s="145"/>
      <c r="N18" s="145"/>
      <c r="O18" s="145"/>
      <c r="P18" s="145"/>
      <c r="Q18" s="145"/>
      <c r="R18" s="145"/>
      <c r="S18" s="145"/>
      <c r="T18" s="145"/>
      <c r="U18" s="145"/>
      <c r="V18" s="145"/>
      <c r="W18" s="145"/>
      <c r="X18" s="145"/>
      <c r="Y18" s="145"/>
      <c r="Z18" s="145"/>
    </row>
    <row r="19" spans="1:26" ht="15.75" x14ac:dyDescent="0.25">
      <c r="A19" s="421" t="s">
        <v>13</v>
      </c>
      <c r="B19" s="395"/>
      <c r="C19" s="395"/>
      <c r="D19" s="395"/>
      <c r="E19" s="396"/>
      <c r="F19" s="156">
        <f>(F18*1000)/250*1.7</f>
        <v>33.660000000000004</v>
      </c>
      <c r="G19" s="157" t="s">
        <v>14</v>
      </c>
      <c r="H19" s="145"/>
      <c r="I19" s="145"/>
      <c r="J19" s="145"/>
      <c r="K19" s="145"/>
      <c r="L19" s="145"/>
      <c r="M19" s="145"/>
      <c r="N19" s="145"/>
      <c r="O19" s="145"/>
      <c r="P19" s="145"/>
      <c r="Q19" s="145"/>
      <c r="R19" s="145"/>
      <c r="S19" s="145"/>
      <c r="T19" s="145"/>
      <c r="U19" s="145"/>
      <c r="V19" s="145"/>
      <c r="W19" s="145"/>
      <c r="X19" s="145"/>
      <c r="Y19" s="145"/>
      <c r="Z19" s="145"/>
    </row>
    <row r="20" spans="1:26" ht="15.75" x14ac:dyDescent="0.25">
      <c r="A20" s="399" t="s">
        <v>166</v>
      </c>
      <c r="B20" s="395"/>
      <c r="C20" s="395"/>
      <c r="D20" s="395"/>
      <c r="E20" s="396"/>
      <c r="F20" s="158">
        <v>880</v>
      </c>
      <c r="G20" s="145" t="s">
        <v>25</v>
      </c>
      <c r="H20" s="145" t="s">
        <v>26</v>
      </c>
      <c r="I20" s="145"/>
      <c r="J20" s="145"/>
      <c r="K20" s="145"/>
      <c r="L20" s="145"/>
      <c r="M20" s="145"/>
      <c r="N20" s="145"/>
      <c r="O20" s="145"/>
      <c r="P20" s="145"/>
      <c r="Q20" s="145"/>
      <c r="R20" s="145"/>
      <c r="S20" s="145"/>
      <c r="T20" s="145"/>
      <c r="U20" s="145"/>
      <c r="V20" s="145"/>
      <c r="W20" s="145"/>
      <c r="X20" s="145"/>
      <c r="Y20" s="145"/>
      <c r="Z20" s="145"/>
    </row>
    <row r="21" spans="1:26" ht="15.75" customHeight="1" x14ac:dyDescent="0.25">
      <c r="A21" s="419" t="s">
        <v>167</v>
      </c>
      <c r="B21" s="395"/>
      <c r="C21" s="395"/>
      <c r="D21" s="395"/>
      <c r="E21" s="396"/>
      <c r="F21" s="159">
        <f>(F18)*F20</f>
        <v>4356</v>
      </c>
      <c r="G21" s="157" t="s">
        <v>27</v>
      </c>
      <c r="H21" s="145"/>
      <c r="I21" s="145"/>
      <c r="J21" s="145"/>
      <c r="K21" s="145"/>
      <c r="L21" s="145"/>
      <c r="M21" s="145"/>
      <c r="N21" s="145"/>
      <c r="O21" s="145"/>
      <c r="P21" s="145"/>
      <c r="Q21" s="145"/>
      <c r="R21" s="145"/>
      <c r="S21" s="145"/>
      <c r="T21" s="145"/>
      <c r="U21" s="145"/>
      <c r="V21" s="145"/>
      <c r="W21" s="145"/>
      <c r="X21" s="145"/>
      <c r="Y21" s="145"/>
      <c r="Z21" s="145"/>
    </row>
    <row r="22" spans="1:26" ht="15.75" x14ac:dyDescent="0.25">
      <c r="A22" s="399" t="s">
        <v>28</v>
      </c>
      <c r="B22" s="395"/>
      <c r="C22" s="395"/>
      <c r="D22" s="395"/>
      <c r="E22" s="396"/>
      <c r="F22" s="160">
        <v>-5.0000000000000001E-3</v>
      </c>
      <c r="G22" s="145" t="s">
        <v>8</v>
      </c>
      <c r="H22" s="145" t="s">
        <v>29</v>
      </c>
      <c r="I22" s="145"/>
      <c r="J22" s="145"/>
      <c r="K22" s="145"/>
      <c r="L22" s="145"/>
      <c r="M22" s="145"/>
      <c r="N22" s="145"/>
      <c r="O22" s="145"/>
      <c r="P22" s="145"/>
      <c r="Q22" s="145"/>
      <c r="R22" s="145"/>
      <c r="S22" s="145"/>
      <c r="T22" s="145"/>
      <c r="U22" s="145"/>
      <c r="V22" s="145"/>
      <c r="W22" s="145"/>
      <c r="X22" s="145"/>
      <c r="Y22" s="145"/>
      <c r="Z22" s="145"/>
    </row>
    <row r="23" spans="1:26" ht="15.75" x14ac:dyDescent="0.25">
      <c r="A23" s="413" t="s">
        <v>225</v>
      </c>
      <c r="B23" s="395"/>
      <c r="C23" s="395"/>
      <c r="D23" s="395"/>
      <c r="E23" s="396"/>
      <c r="F23" s="161">
        <v>0.1</v>
      </c>
      <c r="G23" s="162"/>
      <c r="H23" s="145" t="s">
        <v>168</v>
      </c>
      <c r="I23" s="162"/>
      <c r="J23" s="162"/>
      <c r="K23" s="162"/>
      <c r="L23" s="162"/>
      <c r="M23" s="162"/>
      <c r="N23" s="162"/>
      <c r="O23" s="162"/>
      <c r="P23" s="162"/>
      <c r="Q23" s="162"/>
      <c r="R23" s="162"/>
      <c r="S23" s="162"/>
      <c r="T23" s="162"/>
      <c r="U23" s="162"/>
      <c r="V23" s="162"/>
      <c r="W23" s="162"/>
      <c r="X23" s="162"/>
      <c r="Y23" s="162"/>
      <c r="Z23" s="162"/>
    </row>
    <row r="24" spans="1:26" ht="15.75" customHeight="1" x14ac:dyDescent="0.25">
      <c r="A24" s="420" t="s">
        <v>169</v>
      </c>
      <c r="B24" s="395"/>
      <c r="C24" s="395"/>
      <c r="D24" s="395"/>
      <c r="E24" s="396"/>
      <c r="F24" s="151">
        <f>(2)</f>
        <v>2</v>
      </c>
      <c r="G24" s="145" t="s">
        <v>3</v>
      </c>
      <c r="H24" s="145" t="s">
        <v>170</v>
      </c>
      <c r="I24" s="145"/>
      <c r="J24" s="145"/>
      <c r="K24" s="145"/>
      <c r="L24" s="145"/>
      <c r="M24" s="145"/>
      <c r="N24" s="145"/>
      <c r="O24" s="145"/>
      <c r="P24" s="145"/>
      <c r="Q24" s="145"/>
      <c r="R24" s="145"/>
      <c r="S24" s="145"/>
      <c r="T24" s="145"/>
      <c r="U24" s="145"/>
      <c r="V24" s="145"/>
      <c r="W24" s="145"/>
      <c r="X24" s="145"/>
      <c r="Y24" s="145"/>
      <c r="Z24" s="145"/>
    </row>
    <row r="25" spans="1:26" ht="15.75" x14ac:dyDescent="0.25">
      <c r="A25" s="163"/>
      <c r="B25" s="163"/>
      <c r="C25" s="163"/>
      <c r="D25" s="163"/>
      <c r="E25" s="163"/>
      <c r="F25" s="164"/>
      <c r="G25" s="162"/>
      <c r="H25" s="162"/>
      <c r="I25" s="162"/>
      <c r="J25" s="162"/>
      <c r="K25" s="162"/>
      <c r="L25" s="162"/>
      <c r="M25" s="162"/>
      <c r="N25" s="162"/>
      <c r="O25" s="162"/>
      <c r="P25" s="162"/>
      <c r="Q25" s="162"/>
      <c r="R25" s="162"/>
      <c r="S25" s="162"/>
      <c r="T25" s="162"/>
      <c r="U25" s="162"/>
      <c r="V25" s="162"/>
      <c r="W25" s="162"/>
      <c r="X25" s="162"/>
      <c r="Y25" s="162"/>
      <c r="Z25" s="162"/>
    </row>
    <row r="26" spans="1:26" ht="15.75" x14ac:dyDescent="0.25">
      <c r="A26" s="165" t="s">
        <v>171</v>
      </c>
      <c r="B26" s="163"/>
      <c r="C26" s="163"/>
      <c r="D26" s="163"/>
      <c r="E26" s="163"/>
      <c r="F26" s="164"/>
      <c r="G26" s="162"/>
      <c r="H26" s="162"/>
      <c r="I26" s="162"/>
      <c r="J26" s="162"/>
      <c r="K26" s="162"/>
      <c r="L26" s="162"/>
      <c r="M26" s="162"/>
      <c r="N26" s="162"/>
      <c r="O26" s="162"/>
      <c r="P26" s="162"/>
      <c r="Q26" s="162"/>
      <c r="R26" s="162"/>
      <c r="S26" s="162"/>
      <c r="T26" s="162"/>
      <c r="U26" s="162"/>
      <c r="V26" s="162"/>
      <c r="W26" s="162"/>
      <c r="X26" s="162"/>
      <c r="Y26" s="162"/>
      <c r="Z26" s="162"/>
    </row>
    <row r="27" spans="1:26" ht="15.75" x14ac:dyDescent="0.25">
      <c r="A27" s="399" t="s">
        <v>172</v>
      </c>
      <c r="B27" s="395"/>
      <c r="C27" s="395"/>
      <c r="D27" s="395"/>
      <c r="E27" s="396"/>
      <c r="F27" s="166">
        <v>7250</v>
      </c>
      <c r="G27" s="145" t="s">
        <v>15</v>
      </c>
      <c r="H27" s="145" t="s">
        <v>273</v>
      </c>
      <c r="I27" s="145"/>
      <c r="J27" s="145"/>
      <c r="K27" s="145"/>
      <c r="L27" s="145"/>
      <c r="M27" s="145"/>
      <c r="N27" s="145"/>
      <c r="O27" s="145"/>
      <c r="P27" s="145"/>
      <c r="Q27" s="145"/>
      <c r="R27" s="145"/>
      <c r="S27" s="145"/>
      <c r="T27" s="145"/>
      <c r="U27" s="145"/>
      <c r="V27" s="145"/>
      <c r="W27" s="145"/>
      <c r="X27" s="145"/>
      <c r="Y27" s="145"/>
      <c r="Z27" s="145"/>
    </row>
    <row r="28" spans="1:26" ht="15.75" x14ac:dyDescent="0.25">
      <c r="A28" s="421" t="s">
        <v>16</v>
      </c>
      <c r="B28" s="395"/>
      <c r="C28" s="395"/>
      <c r="D28" s="395"/>
      <c r="E28" s="396"/>
      <c r="F28" s="167">
        <f>F27/F18</f>
        <v>1464.6464646464647</v>
      </c>
      <c r="G28" s="157" t="s">
        <v>17</v>
      </c>
      <c r="H28" s="145"/>
      <c r="I28" s="145"/>
      <c r="J28" s="145"/>
      <c r="K28" s="145"/>
      <c r="L28" s="145"/>
      <c r="M28" s="145"/>
      <c r="N28" s="145"/>
      <c r="O28" s="145"/>
      <c r="P28" s="145"/>
      <c r="Q28" s="145"/>
      <c r="R28" s="145"/>
      <c r="S28" s="145"/>
      <c r="T28" s="145"/>
      <c r="U28" s="145"/>
      <c r="V28" s="145"/>
      <c r="W28" s="145"/>
      <c r="X28" s="145"/>
      <c r="Y28" s="145"/>
      <c r="Z28" s="145"/>
    </row>
    <row r="29" spans="1:26" ht="15.75" x14ac:dyDescent="0.25">
      <c r="A29" s="420" t="s">
        <v>173</v>
      </c>
      <c r="B29" s="395"/>
      <c r="C29" s="395"/>
      <c r="D29" s="395"/>
      <c r="E29" s="396"/>
      <c r="F29" s="161">
        <v>0.1</v>
      </c>
      <c r="G29" s="145"/>
      <c r="H29" s="145" t="s">
        <v>278</v>
      </c>
      <c r="I29" s="145"/>
      <c r="J29" s="145"/>
      <c r="K29" s="145"/>
      <c r="L29" s="145"/>
      <c r="M29" s="145"/>
      <c r="N29" s="145"/>
      <c r="O29" s="145"/>
      <c r="P29" s="145"/>
      <c r="Q29" s="145"/>
      <c r="R29" s="145"/>
      <c r="S29" s="145"/>
      <c r="T29" s="145"/>
      <c r="U29" s="145"/>
      <c r="V29" s="145"/>
      <c r="W29" s="145"/>
      <c r="X29" s="145"/>
      <c r="Y29" s="145"/>
      <c r="Z29" s="145"/>
    </row>
    <row r="30" spans="1:26" ht="15.75" customHeight="1" x14ac:dyDescent="0.25">
      <c r="A30" s="420" t="s">
        <v>21</v>
      </c>
      <c r="B30" s="395"/>
      <c r="C30" s="395"/>
      <c r="D30" s="395"/>
      <c r="E30" s="396"/>
      <c r="F30" s="168">
        <v>0</v>
      </c>
      <c r="G30" s="145" t="s">
        <v>15</v>
      </c>
      <c r="H30" s="145"/>
      <c r="I30" s="145"/>
      <c r="J30" s="145"/>
      <c r="K30" s="145"/>
      <c r="L30" s="145"/>
      <c r="M30" s="145"/>
      <c r="N30" s="145"/>
      <c r="O30" s="145"/>
      <c r="P30" s="145"/>
      <c r="Q30" s="145"/>
      <c r="R30" s="145"/>
      <c r="S30" s="145"/>
      <c r="T30" s="145"/>
      <c r="U30" s="145"/>
      <c r="V30" s="145"/>
      <c r="W30" s="145"/>
      <c r="X30" s="145"/>
      <c r="Y30" s="145"/>
      <c r="Z30" s="145"/>
    </row>
    <row r="31" spans="1:26" ht="15.75" x14ac:dyDescent="0.25">
      <c r="A31" s="412" t="s">
        <v>22</v>
      </c>
      <c r="B31" s="395"/>
      <c r="C31" s="395"/>
      <c r="D31" s="395"/>
      <c r="E31" s="395"/>
      <c r="F31" s="167">
        <f>F27-(F27*F29)-F30</f>
        <v>6525</v>
      </c>
      <c r="G31" s="157" t="s">
        <v>15</v>
      </c>
      <c r="H31" s="145" t="s">
        <v>232</v>
      </c>
      <c r="I31" s="145"/>
      <c r="J31" s="145"/>
      <c r="K31" s="145"/>
      <c r="L31" s="145"/>
      <c r="M31" s="145"/>
      <c r="N31" s="145"/>
      <c r="O31" s="145"/>
      <c r="P31" s="145"/>
      <c r="Q31" s="145"/>
      <c r="R31" s="145"/>
      <c r="S31" s="145"/>
      <c r="T31" s="145"/>
      <c r="U31" s="145"/>
      <c r="V31" s="145"/>
      <c r="W31" s="145"/>
      <c r="X31" s="145"/>
      <c r="Y31" s="145"/>
      <c r="Z31" s="145"/>
    </row>
    <row r="32" spans="1:26" ht="15.75" x14ac:dyDescent="0.25">
      <c r="A32" s="413" t="s">
        <v>174</v>
      </c>
      <c r="B32" s="395"/>
      <c r="C32" s="395"/>
      <c r="D32" s="395"/>
      <c r="E32" s="395"/>
      <c r="F32" s="169">
        <v>0</v>
      </c>
      <c r="G32" s="145"/>
      <c r="I32" s="145"/>
      <c r="J32" s="145"/>
      <c r="K32" s="145"/>
      <c r="L32" s="145"/>
      <c r="M32" s="145"/>
      <c r="N32" s="145"/>
      <c r="O32" s="145"/>
      <c r="P32" s="145"/>
      <c r="Q32" s="145"/>
      <c r="R32" s="145"/>
      <c r="S32" s="145"/>
      <c r="T32" s="145"/>
      <c r="U32" s="145"/>
      <c r="V32" s="145"/>
      <c r="W32" s="145"/>
      <c r="X32" s="145"/>
      <c r="Y32" s="145"/>
      <c r="Z32" s="145"/>
    </row>
    <row r="33" spans="1:30" ht="15.75" x14ac:dyDescent="0.25">
      <c r="A33" s="413" t="s">
        <v>175</v>
      </c>
      <c r="B33" s="395"/>
      <c r="C33" s="395"/>
      <c r="D33" s="395"/>
      <c r="E33" s="395"/>
      <c r="F33" s="170">
        <v>0</v>
      </c>
      <c r="G33" s="145" t="s">
        <v>37</v>
      </c>
      <c r="H33" s="145"/>
      <c r="I33" s="145"/>
      <c r="J33" s="145"/>
      <c r="K33" s="145"/>
      <c r="L33" s="145"/>
      <c r="M33" s="145"/>
      <c r="N33" s="145"/>
      <c r="O33" s="145"/>
      <c r="P33" s="145"/>
      <c r="Q33" s="145"/>
      <c r="R33" s="145"/>
      <c r="S33" s="145"/>
      <c r="T33" s="145"/>
      <c r="U33" s="145"/>
      <c r="V33" s="145"/>
      <c r="W33" s="145"/>
      <c r="X33" s="145"/>
      <c r="Y33" s="145"/>
      <c r="Z33" s="145"/>
    </row>
    <row r="34" spans="1:30" ht="15.75" x14ac:dyDescent="0.25">
      <c r="A34" s="413" t="s">
        <v>176</v>
      </c>
      <c r="B34" s="395"/>
      <c r="C34" s="395"/>
      <c r="D34" s="395"/>
      <c r="E34" s="395"/>
      <c r="F34" s="171">
        <v>0</v>
      </c>
      <c r="G34" s="145"/>
      <c r="H34" s="145"/>
      <c r="I34" s="145"/>
      <c r="J34" s="145"/>
      <c r="K34" s="145"/>
      <c r="L34" s="145"/>
      <c r="M34" s="145"/>
      <c r="N34" s="145"/>
      <c r="O34" s="145"/>
      <c r="P34" s="145"/>
      <c r="Q34" s="145"/>
      <c r="R34" s="145"/>
      <c r="S34" s="145"/>
      <c r="T34" s="145"/>
      <c r="U34" s="145"/>
      <c r="V34" s="145"/>
      <c r="W34" s="145"/>
      <c r="X34" s="145"/>
      <c r="Y34" s="145"/>
      <c r="Z34" s="145"/>
    </row>
    <row r="35" spans="1:30" ht="15.75" x14ac:dyDescent="0.25">
      <c r="A35" s="412" t="s">
        <v>177</v>
      </c>
      <c r="B35" s="395"/>
      <c r="C35" s="395"/>
      <c r="D35" s="395"/>
      <c r="E35" s="395"/>
      <c r="F35" s="172">
        <f>IFERROR(F32/F33,0)</f>
        <v>0</v>
      </c>
      <c r="G35" s="157" t="s">
        <v>178</v>
      </c>
      <c r="H35" s="145" t="s">
        <v>4</v>
      </c>
      <c r="I35" s="145"/>
      <c r="J35" s="145"/>
      <c r="K35" s="145"/>
      <c r="L35" s="145"/>
      <c r="M35" s="145"/>
      <c r="N35" s="145"/>
      <c r="O35" s="145"/>
      <c r="P35" s="145"/>
      <c r="Q35" s="145"/>
      <c r="R35" s="145"/>
      <c r="S35" s="145"/>
      <c r="T35" s="145"/>
      <c r="U35" s="145"/>
      <c r="V35" s="145"/>
      <c r="W35" s="145"/>
      <c r="X35" s="145"/>
      <c r="Y35" s="145"/>
      <c r="Z35" s="145"/>
    </row>
    <row r="36" spans="1:30" ht="15.75" x14ac:dyDescent="0.25">
      <c r="A36" s="413" t="s">
        <v>23</v>
      </c>
      <c r="B36" s="395"/>
      <c r="C36" s="395"/>
      <c r="D36" s="395"/>
      <c r="E36" s="395"/>
      <c r="F36" s="160">
        <v>0</v>
      </c>
      <c r="G36" s="145"/>
      <c r="H36" s="145" t="s">
        <v>179</v>
      </c>
      <c r="I36" s="145"/>
      <c r="J36" s="145"/>
      <c r="K36" s="145"/>
      <c r="L36" s="145"/>
      <c r="M36" s="145"/>
      <c r="N36" s="145"/>
      <c r="O36" s="145"/>
      <c r="P36" s="145"/>
      <c r="Q36" s="145"/>
      <c r="R36" s="145"/>
      <c r="S36" s="145"/>
      <c r="T36" s="145"/>
      <c r="U36" s="145"/>
      <c r="V36" s="145"/>
      <c r="W36" s="145"/>
      <c r="X36" s="145"/>
      <c r="Y36" s="145"/>
      <c r="Z36" s="145"/>
    </row>
    <row r="37" spans="1:30" ht="15.75" x14ac:dyDescent="0.25">
      <c r="A37" s="414" t="s">
        <v>24</v>
      </c>
      <c r="B37" s="408"/>
      <c r="C37" s="408"/>
      <c r="D37" s="408"/>
      <c r="E37" s="409"/>
      <c r="F37" s="173">
        <v>0.08</v>
      </c>
      <c r="G37" s="145"/>
      <c r="H37" s="145" t="s">
        <v>180</v>
      </c>
      <c r="I37" s="145"/>
      <c r="J37" s="145"/>
      <c r="K37" s="145"/>
      <c r="L37" s="145"/>
      <c r="M37" s="145"/>
      <c r="N37" s="145"/>
      <c r="O37" s="145"/>
      <c r="P37" s="145"/>
      <c r="Q37" s="145"/>
      <c r="R37" s="145"/>
      <c r="S37" s="145"/>
      <c r="T37" s="145"/>
      <c r="U37" s="145"/>
      <c r="V37" s="145"/>
      <c r="W37" s="145"/>
      <c r="X37" s="145"/>
      <c r="Y37" s="145"/>
      <c r="Z37" s="145"/>
    </row>
    <row r="38" spans="1:30" ht="15.75" x14ac:dyDescent="0.25">
      <c r="A38" s="399" t="s">
        <v>231</v>
      </c>
      <c r="B38" s="395"/>
      <c r="C38" s="395"/>
      <c r="D38" s="395"/>
      <c r="E38" s="396"/>
      <c r="F38" s="169">
        <v>30</v>
      </c>
      <c r="G38" s="145" t="s">
        <v>15</v>
      </c>
      <c r="H38" s="145" t="s">
        <v>273</v>
      </c>
      <c r="I38" s="145"/>
      <c r="J38" s="145"/>
      <c r="K38" s="145"/>
      <c r="L38" s="145"/>
      <c r="M38" s="145"/>
      <c r="N38" s="145"/>
      <c r="O38" s="145"/>
      <c r="P38" s="145"/>
      <c r="Q38" s="145"/>
      <c r="R38" s="145"/>
      <c r="S38" s="145"/>
      <c r="T38" s="145"/>
      <c r="U38" s="145"/>
      <c r="V38" s="145"/>
      <c r="W38" s="145"/>
      <c r="X38" s="145"/>
      <c r="Y38" s="145"/>
      <c r="Z38" s="145"/>
    </row>
    <row r="39" spans="1:30" ht="15.75" customHeight="1" x14ac:dyDescent="0.25">
      <c r="A39" s="174"/>
      <c r="B39" s="175"/>
      <c r="C39" s="175"/>
      <c r="D39" s="176"/>
      <c r="E39" s="145"/>
      <c r="F39" s="145"/>
      <c r="G39" s="145"/>
      <c r="H39" s="145"/>
      <c r="I39" s="145"/>
      <c r="J39" s="145"/>
      <c r="K39" s="145"/>
      <c r="L39" s="145"/>
      <c r="M39" s="145"/>
      <c r="N39" s="145"/>
      <c r="O39" s="145"/>
      <c r="P39" s="145"/>
      <c r="Q39" s="145"/>
      <c r="R39" s="145"/>
      <c r="S39" s="145"/>
      <c r="T39" s="145"/>
      <c r="U39" s="145"/>
      <c r="V39" s="145"/>
      <c r="W39" s="145"/>
      <c r="X39" s="145"/>
      <c r="Y39" s="145"/>
      <c r="Z39" s="145"/>
    </row>
    <row r="40" spans="1:30" ht="15.75" x14ac:dyDescent="0.25">
      <c r="A40" s="177" t="s">
        <v>181</v>
      </c>
      <c r="B40" s="145"/>
      <c r="C40" s="145"/>
      <c r="D40" s="145"/>
      <c r="E40" s="145"/>
      <c r="F40" s="145"/>
      <c r="G40" s="145"/>
      <c r="H40" s="178"/>
      <c r="I40" s="145"/>
      <c r="J40" s="145"/>
      <c r="K40" s="145"/>
      <c r="L40" s="145"/>
      <c r="M40" s="145"/>
      <c r="N40" s="145"/>
      <c r="O40" s="145"/>
      <c r="P40" s="145"/>
      <c r="Q40" s="145"/>
      <c r="R40" s="145"/>
      <c r="S40" s="145"/>
      <c r="T40" s="145"/>
      <c r="U40" s="145"/>
      <c r="V40" s="145"/>
      <c r="W40" s="145"/>
      <c r="X40" s="145"/>
      <c r="Y40" s="145"/>
      <c r="Z40" s="145"/>
    </row>
    <row r="41" spans="1:30" ht="15.75" x14ac:dyDescent="0.25">
      <c r="B41" s="145"/>
      <c r="C41" s="145"/>
      <c r="D41" s="145"/>
      <c r="E41" s="145"/>
      <c r="F41" s="145"/>
      <c r="G41" s="145"/>
      <c r="H41" s="178"/>
      <c r="I41" s="145"/>
      <c r="J41" s="145"/>
      <c r="K41" s="145"/>
      <c r="L41" s="145"/>
      <c r="M41" s="145"/>
      <c r="N41" s="145"/>
      <c r="O41" s="145"/>
      <c r="P41" s="145"/>
      <c r="Q41" s="145"/>
      <c r="R41" s="145"/>
      <c r="S41" s="145"/>
      <c r="T41" s="145"/>
      <c r="U41" s="145"/>
      <c r="V41" s="145"/>
      <c r="W41" s="145"/>
      <c r="X41" s="145"/>
      <c r="Y41" s="145"/>
      <c r="Z41" s="145"/>
    </row>
    <row r="42" spans="1:30" ht="15.6" customHeight="1" x14ac:dyDescent="0.25">
      <c r="A42" s="415" t="s">
        <v>182</v>
      </c>
      <c r="B42" s="396"/>
      <c r="C42" s="416" t="s">
        <v>183</v>
      </c>
      <c r="D42" s="396"/>
      <c r="E42" s="417" t="s">
        <v>184</v>
      </c>
      <c r="F42" s="418"/>
      <c r="G42" s="418"/>
      <c r="H42" s="418"/>
      <c r="I42" s="418"/>
      <c r="J42" s="418"/>
      <c r="K42" s="418"/>
      <c r="L42" s="401" t="s">
        <v>185</v>
      </c>
      <c r="M42" s="401"/>
      <c r="N42" s="402"/>
      <c r="P42" s="403" t="s">
        <v>186</v>
      </c>
      <c r="Q42" s="403"/>
      <c r="R42" s="403"/>
      <c r="S42" s="179"/>
      <c r="T42" s="180"/>
      <c r="U42" s="180"/>
      <c r="V42" s="180"/>
      <c r="W42" s="180"/>
      <c r="X42" s="180"/>
      <c r="Y42" s="180"/>
      <c r="Z42" s="180"/>
      <c r="AA42" s="180"/>
      <c r="AB42" s="180"/>
      <c r="AC42" s="180"/>
      <c r="AD42" s="180"/>
    </row>
    <row r="43" spans="1:30" ht="61.5" customHeight="1" x14ac:dyDescent="0.25">
      <c r="A43" s="181" t="s">
        <v>141</v>
      </c>
      <c r="B43" s="181" t="s">
        <v>187</v>
      </c>
      <c r="C43" s="182" t="s">
        <v>188</v>
      </c>
      <c r="D43" s="183" t="s">
        <v>189</v>
      </c>
      <c r="E43" s="184" t="s">
        <v>116</v>
      </c>
      <c r="F43" s="184" t="s">
        <v>190</v>
      </c>
      <c r="G43" s="185" t="s">
        <v>191</v>
      </c>
      <c r="H43" s="184" t="s">
        <v>147</v>
      </c>
      <c r="I43" s="184" t="s">
        <v>148</v>
      </c>
      <c r="J43" s="184" t="s">
        <v>149</v>
      </c>
      <c r="K43" s="185" t="s">
        <v>192</v>
      </c>
      <c r="L43" s="186" t="s">
        <v>193</v>
      </c>
      <c r="M43" s="187" t="s">
        <v>194</v>
      </c>
      <c r="N43" s="181" t="s">
        <v>195</v>
      </c>
      <c r="O43" s="188" t="s">
        <v>196</v>
      </c>
      <c r="P43" s="189" t="s">
        <v>197</v>
      </c>
      <c r="Q43" s="189" t="s">
        <v>198</v>
      </c>
      <c r="R43" s="189" t="s">
        <v>199</v>
      </c>
      <c r="S43" s="190"/>
      <c r="T43" s="191"/>
      <c r="U43" s="191"/>
      <c r="V43" s="191"/>
      <c r="W43" s="191"/>
      <c r="X43" s="191"/>
      <c r="Y43" s="191"/>
      <c r="Z43" s="191"/>
      <c r="AA43" s="191"/>
      <c r="AB43" s="191"/>
    </row>
    <row r="44" spans="1:30" ht="15.75" x14ac:dyDescent="0.25">
      <c r="A44" s="192">
        <v>0</v>
      </c>
      <c r="B44" s="193" t="s">
        <v>4</v>
      </c>
      <c r="C44" s="194" t="s">
        <v>4</v>
      </c>
      <c r="D44" s="195" t="s">
        <v>4</v>
      </c>
      <c r="E44" s="196">
        <f>0</f>
        <v>0</v>
      </c>
      <c r="F44" s="197">
        <f>IF((F33&gt;0),0,$F$31)</f>
        <v>6525</v>
      </c>
      <c r="G44" s="198">
        <v>0</v>
      </c>
      <c r="H44" s="198">
        <f>IF(F32&gt;0,(F32),0)</f>
        <v>0</v>
      </c>
      <c r="I44" s="198">
        <f>IF(OR(H44="",H44=0),0,F31-F32)</f>
        <v>0</v>
      </c>
      <c r="J44" s="199">
        <v>0</v>
      </c>
      <c r="K44" s="200">
        <f>IFERROR(F44+G44+I44+J44,J44)</f>
        <v>6525</v>
      </c>
      <c r="L44" s="201" t="s">
        <v>4</v>
      </c>
      <c r="M44" s="202" t="s">
        <v>4</v>
      </c>
      <c r="N44" s="203" t="s">
        <v>4</v>
      </c>
      <c r="O44" s="316">
        <f>-K44</f>
        <v>-6525</v>
      </c>
      <c r="P44" s="205">
        <f>$O44</f>
        <v>-6525</v>
      </c>
      <c r="Q44" s="206" t="s">
        <v>4</v>
      </c>
      <c r="R44" s="192">
        <f t="shared" ref="R44:R74" si="0">IF(Q44&lt;0,1,0)</f>
        <v>0</v>
      </c>
      <c r="S44" s="207"/>
      <c r="T44" s="150"/>
      <c r="U44" s="145"/>
      <c r="V44" s="145"/>
      <c r="W44" s="145"/>
      <c r="X44" s="145"/>
      <c r="Y44" s="145"/>
      <c r="Z44" s="145"/>
      <c r="AA44" s="145"/>
      <c r="AB44" s="145"/>
      <c r="AC44" s="145"/>
    </row>
    <row r="45" spans="1:30" ht="15.75" x14ac:dyDescent="0.25">
      <c r="A45" s="192">
        <v>1</v>
      </c>
      <c r="B45" s="193">
        <f>F21</f>
        <v>4356</v>
      </c>
      <c r="C45" s="208">
        <f>(F14/100)</f>
        <v>0.14122514999999999</v>
      </c>
      <c r="D45" s="195">
        <f t="shared" ref="D45:D74" si="1">B45*C45</f>
        <v>615.17675339999994</v>
      </c>
      <c r="E45" s="196" t="str">
        <f>IF(OR(H44="",H44=0),"",E44+1)</f>
        <v/>
      </c>
      <c r="F45" s="197" t="str">
        <f>IF(E45="","",$F$35)</f>
        <v/>
      </c>
      <c r="G45" s="198" t="str">
        <f>IF(E45="","",((H44*$F$34)))</f>
        <v/>
      </c>
      <c r="H45" s="198" t="str">
        <f>IFERROR(ROUND(IF(E45="","",($H$44-SUM($F$44:F45))),2),"")</f>
        <v/>
      </c>
      <c r="I45" s="198"/>
      <c r="J45" s="199">
        <f t="shared" ref="J45:J57" si="2">$F$38</f>
        <v>30</v>
      </c>
      <c r="K45" s="200">
        <f>IFERROR(F45+G45+I45+J45,J45)</f>
        <v>30</v>
      </c>
      <c r="L45" s="201">
        <f>F24/100</f>
        <v>0.02</v>
      </c>
      <c r="M45" s="202">
        <f t="shared" ref="M45:M74" si="3">B45*$F$23*L45</f>
        <v>8.7120000000000015</v>
      </c>
      <c r="N45" s="203">
        <f t="shared" ref="N45:N74" si="4">D45*(1-$F$23)+M45</f>
        <v>562.37107805999995</v>
      </c>
      <c r="O45" s="316">
        <f>N45-K45</f>
        <v>532.37107805999995</v>
      </c>
      <c r="P45" s="205">
        <f t="shared" ref="P45:P74" si="5">P44+$O45</f>
        <v>-5992.6289219400005</v>
      </c>
      <c r="Q45" s="209">
        <f>NPV($F$36,O44:O45)</f>
        <v>-5992.6289219400005</v>
      </c>
      <c r="R45" s="192">
        <f t="shared" si="0"/>
        <v>1</v>
      </c>
      <c r="S45" s="207"/>
      <c r="T45" s="150"/>
      <c r="U45" s="145"/>
      <c r="V45" s="145"/>
      <c r="W45" s="145"/>
      <c r="X45" s="145"/>
      <c r="Y45" s="145"/>
      <c r="Z45" s="145"/>
      <c r="AA45" s="145"/>
      <c r="AB45" s="145"/>
      <c r="AC45" s="145"/>
    </row>
    <row r="46" spans="1:30" ht="15.75" x14ac:dyDescent="0.25">
      <c r="A46" s="192">
        <v>2</v>
      </c>
      <c r="B46" s="193">
        <f t="shared" ref="B46:B74" si="6">$F$22*B45+B45</f>
        <v>4334.22</v>
      </c>
      <c r="C46" s="208">
        <f t="shared" ref="C46:C74" si="7">(1+$F$15)*C45</f>
        <v>0.14263740149999998</v>
      </c>
      <c r="D46" s="195">
        <f t="shared" si="1"/>
        <v>618.22187832932991</v>
      </c>
      <c r="E46" s="196" t="str">
        <f>IF(OR(H45="",H45=0),"",E45+1)</f>
        <v/>
      </c>
      <c r="F46" s="197" t="str">
        <f t="shared" ref="F46:F64" si="8">IF(E46="","",$F$35)</f>
        <v/>
      </c>
      <c r="G46" s="198" t="str">
        <f>IF(E46="","",((H45*$F$34)))</f>
        <v/>
      </c>
      <c r="H46" s="198" t="str">
        <f>IFERROR(ROUND(IF(E46="","",($H$44-SUM($F$44:F46))),2),"")</f>
        <v/>
      </c>
      <c r="I46" s="198"/>
      <c r="J46" s="199">
        <f t="shared" si="2"/>
        <v>30</v>
      </c>
      <c r="K46" s="200">
        <f t="shared" ref="K46:K74" si="9">IFERROR(F46+G46+I46+J46,J46)</f>
        <v>30</v>
      </c>
      <c r="L46" s="201">
        <f t="shared" ref="L46:L74" si="10">(1+$F$15)*L45</f>
        <v>2.0199999999999999E-2</v>
      </c>
      <c r="M46" s="202">
        <f t="shared" si="3"/>
        <v>8.7551243999999997</v>
      </c>
      <c r="N46" s="203">
        <f t="shared" si="4"/>
        <v>565.15481489639694</v>
      </c>
      <c r="O46" s="316">
        <f t="shared" ref="O46:O74" si="11">N46-K46</f>
        <v>535.15481489639694</v>
      </c>
      <c r="P46" s="205">
        <f t="shared" si="5"/>
        <v>-5457.4741070436039</v>
      </c>
      <c r="Q46" s="209">
        <f>NPV($F$36,O44:O46)</f>
        <v>-5457.4741070436039</v>
      </c>
      <c r="R46" s="192">
        <f t="shared" si="0"/>
        <v>1</v>
      </c>
      <c r="S46" s="207"/>
      <c r="T46" s="150"/>
      <c r="U46" s="145"/>
      <c r="V46" s="145"/>
      <c r="W46" s="145"/>
      <c r="X46" s="145"/>
      <c r="Y46" s="145"/>
      <c r="Z46" s="145"/>
      <c r="AA46" s="145"/>
      <c r="AB46" s="145"/>
      <c r="AC46" s="145"/>
    </row>
    <row r="47" spans="1:30" ht="15.75" x14ac:dyDescent="0.25">
      <c r="A47" s="192">
        <v>3</v>
      </c>
      <c r="B47" s="193">
        <f t="shared" si="6"/>
        <v>4312.5489000000007</v>
      </c>
      <c r="C47" s="208">
        <f t="shared" si="7"/>
        <v>0.14406377551499999</v>
      </c>
      <c r="D47" s="195">
        <f t="shared" si="1"/>
        <v>621.28207662706029</v>
      </c>
      <c r="E47" s="196" t="str">
        <f t="shared" ref="E47:E64" si="12">IF(OR(H46="",H46=0),"",E46+1)</f>
        <v/>
      </c>
      <c r="F47" s="197" t="str">
        <f t="shared" si="8"/>
        <v/>
      </c>
      <c r="G47" s="198" t="str">
        <f>IF(E47="","",((H46*$F$34)))</f>
        <v/>
      </c>
      <c r="H47" s="198" t="str">
        <f>IFERROR(ROUND(IF(E47="","",($H$44-SUM($F$44:F47))),2),"")</f>
        <v/>
      </c>
      <c r="I47" s="198"/>
      <c r="J47" s="199">
        <f t="shared" si="2"/>
        <v>30</v>
      </c>
      <c r="K47" s="200">
        <f t="shared" si="9"/>
        <v>30</v>
      </c>
      <c r="L47" s="201">
        <f t="shared" si="10"/>
        <v>2.0402E-2</v>
      </c>
      <c r="M47" s="202">
        <f t="shared" si="3"/>
        <v>8.7984622657800013</v>
      </c>
      <c r="N47" s="203">
        <f t="shared" si="4"/>
        <v>567.95233123013429</v>
      </c>
      <c r="O47" s="316">
        <f t="shared" si="11"/>
        <v>537.95233123013429</v>
      </c>
      <c r="P47" s="205">
        <f t="shared" si="5"/>
        <v>-4919.5217758134695</v>
      </c>
      <c r="Q47" s="209">
        <f>NPV($F$36,O44:O47)</f>
        <v>-4919.5217758134695</v>
      </c>
      <c r="R47" s="192">
        <f t="shared" si="0"/>
        <v>1</v>
      </c>
      <c r="S47" s="207"/>
      <c r="T47" s="150"/>
      <c r="U47" s="145"/>
      <c r="V47" s="145"/>
      <c r="W47" s="145"/>
      <c r="X47" s="145"/>
      <c r="Y47" s="145"/>
      <c r="Z47" s="145"/>
      <c r="AA47" s="145"/>
      <c r="AB47" s="145"/>
      <c r="AC47" s="145"/>
    </row>
    <row r="48" spans="1:30" ht="15.75" x14ac:dyDescent="0.25">
      <c r="A48" s="192">
        <v>4</v>
      </c>
      <c r="B48" s="193">
        <f t="shared" si="6"/>
        <v>4290.9861555000007</v>
      </c>
      <c r="C48" s="208">
        <f t="shared" si="7"/>
        <v>0.14550441327014998</v>
      </c>
      <c r="D48" s="195">
        <f t="shared" si="1"/>
        <v>624.35742290636415</v>
      </c>
      <c r="E48" s="196" t="str">
        <f t="shared" si="12"/>
        <v/>
      </c>
      <c r="F48" s="197" t="str">
        <f t="shared" si="8"/>
        <v/>
      </c>
      <c r="G48" s="198" t="str">
        <f t="shared" ref="G48:G64" si="13">IF(E48="","",((H47*$F$34)))</f>
        <v/>
      </c>
      <c r="H48" s="198" t="str">
        <f>IFERROR(ROUND(IF(E48="","",($H$44-SUM($F$44:F48))),2),"")</f>
        <v/>
      </c>
      <c r="I48" s="198"/>
      <c r="J48" s="199">
        <f t="shared" si="2"/>
        <v>30</v>
      </c>
      <c r="K48" s="200">
        <f t="shared" si="9"/>
        <v>30</v>
      </c>
      <c r="L48" s="201">
        <f t="shared" si="10"/>
        <v>2.0606019999999999E-2</v>
      </c>
      <c r="M48" s="202">
        <f t="shared" si="3"/>
        <v>8.8420146539956122</v>
      </c>
      <c r="N48" s="203">
        <f t="shared" si="4"/>
        <v>570.76369526972337</v>
      </c>
      <c r="O48" s="316">
        <f t="shared" si="11"/>
        <v>540.76369526972337</v>
      </c>
      <c r="P48" s="205">
        <f t="shared" si="5"/>
        <v>-4378.7580805437465</v>
      </c>
      <c r="Q48" s="209">
        <f>NPV($F$36,O44:O48)</f>
        <v>-4378.7580805437465</v>
      </c>
      <c r="R48" s="192">
        <f t="shared" si="0"/>
        <v>1</v>
      </c>
      <c r="S48" s="207"/>
      <c r="T48" s="150"/>
      <c r="U48" s="145"/>
      <c r="V48" s="145"/>
      <c r="W48" s="145"/>
      <c r="X48" s="145"/>
      <c r="Y48" s="145"/>
      <c r="Z48" s="145"/>
      <c r="AA48" s="145"/>
      <c r="AB48" s="145"/>
      <c r="AC48" s="145"/>
    </row>
    <row r="49" spans="1:29" ht="15.75" x14ac:dyDescent="0.25">
      <c r="A49" s="192">
        <v>5</v>
      </c>
      <c r="B49" s="193">
        <f t="shared" si="6"/>
        <v>4269.5312247225011</v>
      </c>
      <c r="C49" s="208">
        <f t="shared" si="7"/>
        <v>0.14695945740285149</v>
      </c>
      <c r="D49" s="195">
        <f t="shared" si="1"/>
        <v>627.4479921497508</v>
      </c>
      <c r="E49" s="196" t="str">
        <f t="shared" si="12"/>
        <v/>
      </c>
      <c r="F49" s="197" t="str">
        <f t="shared" si="8"/>
        <v/>
      </c>
      <c r="G49" s="198" t="str">
        <f t="shared" si="13"/>
        <v/>
      </c>
      <c r="H49" s="198" t="str">
        <f>IFERROR(ROUND(IF(E49="","",($H$44-SUM($F$44:F49))),2),"")</f>
        <v/>
      </c>
      <c r="I49" s="198"/>
      <c r="J49" s="199">
        <f t="shared" si="2"/>
        <v>30</v>
      </c>
      <c r="K49" s="200">
        <f t="shared" si="9"/>
        <v>30</v>
      </c>
      <c r="L49" s="201">
        <f t="shared" si="10"/>
        <v>2.0812080199999999E-2</v>
      </c>
      <c r="M49" s="202">
        <f t="shared" si="3"/>
        <v>8.8857826265328921</v>
      </c>
      <c r="N49" s="203">
        <f t="shared" si="4"/>
        <v>573.58897556130864</v>
      </c>
      <c r="O49" s="316">
        <f t="shared" si="11"/>
        <v>543.58897556130864</v>
      </c>
      <c r="P49" s="205">
        <f t="shared" si="5"/>
        <v>-3835.1691049824376</v>
      </c>
      <c r="Q49" s="209">
        <f>NPV($F$36,O44:O49)</f>
        <v>-3835.1691049824376</v>
      </c>
      <c r="R49" s="192">
        <f t="shared" si="0"/>
        <v>1</v>
      </c>
      <c r="S49" s="207"/>
      <c r="T49" s="150"/>
      <c r="U49" s="145"/>
      <c r="V49" s="145"/>
      <c r="W49" s="145"/>
      <c r="X49" s="145"/>
      <c r="Y49" s="145"/>
      <c r="Z49" s="145"/>
      <c r="AA49" s="145"/>
      <c r="AB49" s="145"/>
      <c r="AC49" s="145"/>
    </row>
    <row r="50" spans="1:29" ht="15.75" x14ac:dyDescent="0.25">
      <c r="A50" s="192">
        <v>6</v>
      </c>
      <c r="B50" s="193">
        <f t="shared" si="6"/>
        <v>4248.183568598889</v>
      </c>
      <c r="C50" s="208">
        <f t="shared" si="7"/>
        <v>0.14842905197688</v>
      </c>
      <c r="D50" s="195">
        <f t="shared" si="1"/>
        <v>630.55385971089208</v>
      </c>
      <c r="E50" s="196" t="str">
        <f t="shared" si="12"/>
        <v/>
      </c>
      <c r="F50" s="197" t="str">
        <f t="shared" si="8"/>
        <v/>
      </c>
      <c r="G50" s="198" t="str">
        <f t="shared" si="13"/>
        <v/>
      </c>
      <c r="H50" s="198" t="str">
        <f>IFERROR(ROUND(IF(E50="","",($H$44-SUM($F$44:F50))),2),"")</f>
        <v/>
      </c>
      <c r="I50" s="198"/>
      <c r="J50" s="199">
        <f t="shared" si="2"/>
        <v>30</v>
      </c>
      <c r="K50" s="200">
        <f t="shared" si="9"/>
        <v>30</v>
      </c>
      <c r="L50" s="201">
        <f t="shared" si="10"/>
        <v>2.1020201002E-2</v>
      </c>
      <c r="M50" s="202">
        <f t="shared" si="3"/>
        <v>8.9297672505342298</v>
      </c>
      <c r="N50" s="203">
        <f t="shared" si="4"/>
        <v>576.42824099033714</v>
      </c>
      <c r="O50" s="316">
        <f t="shared" si="11"/>
        <v>546.42824099033714</v>
      </c>
      <c r="P50" s="205">
        <f t="shared" si="5"/>
        <v>-3288.7408639921005</v>
      </c>
      <c r="Q50" s="209">
        <f>NPV($F$36,O44:O50)</f>
        <v>-3288.7408639921005</v>
      </c>
      <c r="R50" s="192">
        <f t="shared" si="0"/>
        <v>1</v>
      </c>
      <c r="S50" s="207"/>
      <c r="T50" s="150"/>
      <c r="U50" s="145"/>
      <c r="V50" s="145"/>
      <c r="W50" s="145"/>
      <c r="X50" s="145"/>
      <c r="Y50" s="145"/>
      <c r="Z50" s="145"/>
      <c r="AA50" s="145"/>
      <c r="AB50" s="145"/>
      <c r="AC50" s="145"/>
    </row>
    <row r="51" spans="1:29" ht="15.75" x14ac:dyDescent="0.25">
      <c r="A51" s="192">
        <v>7</v>
      </c>
      <c r="B51" s="193">
        <f t="shared" si="6"/>
        <v>4226.9426507558946</v>
      </c>
      <c r="C51" s="208">
        <f t="shared" si="7"/>
        <v>0.14991334249664881</v>
      </c>
      <c r="D51" s="195">
        <f t="shared" si="1"/>
        <v>633.675101316461</v>
      </c>
      <c r="E51" s="196" t="str">
        <f t="shared" si="12"/>
        <v/>
      </c>
      <c r="F51" s="197" t="str">
        <f t="shared" si="8"/>
        <v/>
      </c>
      <c r="G51" s="198" t="str">
        <f t="shared" si="13"/>
        <v/>
      </c>
      <c r="H51" s="198" t="str">
        <f>IFERROR(ROUND(IF(E51="","",($H$44-SUM($F$44:F51))),2),"")</f>
        <v/>
      </c>
      <c r="I51" s="198"/>
      <c r="J51" s="199">
        <f t="shared" si="2"/>
        <v>30</v>
      </c>
      <c r="K51" s="200">
        <f t="shared" si="9"/>
        <v>30</v>
      </c>
      <c r="L51" s="201">
        <f t="shared" si="10"/>
        <v>2.1230403012020001E-2</v>
      </c>
      <c r="M51" s="202">
        <f t="shared" si="3"/>
        <v>8.973969598424377</v>
      </c>
      <c r="N51" s="203">
        <f t="shared" si="4"/>
        <v>579.28156078323923</v>
      </c>
      <c r="O51" s="316">
        <f t="shared" si="11"/>
        <v>549.28156078323923</v>
      </c>
      <c r="P51" s="205">
        <f t="shared" si="5"/>
        <v>-2739.4593032088615</v>
      </c>
      <c r="Q51" s="209">
        <f>NPV($F$36,O44:O51)</f>
        <v>-2739.4593032088615</v>
      </c>
      <c r="R51" s="192">
        <f t="shared" si="0"/>
        <v>1</v>
      </c>
      <c r="S51" s="207"/>
      <c r="T51" s="150"/>
      <c r="U51" s="145"/>
      <c r="V51" s="145"/>
      <c r="W51" s="145"/>
      <c r="X51" s="145"/>
      <c r="Y51" s="145"/>
      <c r="Z51" s="145"/>
      <c r="AA51" s="145"/>
      <c r="AB51" s="145"/>
      <c r="AC51" s="145"/>
    </row>
    <row r="52" spans="1:29" ht="15.75" x14ac:dyDescent="0.25">
      <c r="A52" s="192">
        <v>8</v>
      </c>
      <c r="B52" s="193">
        <f t="shared" si="6"/>
        <v>4205.8079375021152</v>
      </c>
      <c r="C52" s="208">
        <f t="shared" si="7"/>
        <v>0.1514124759216153</v>
      </c>
      <c r="D52" s="195">
        <f t="shared" si="1"/>
        <v>636.81179306797753</v>
      </c>
      <c r="E52" s="196" t="str">
        <f t="shared" si="12"/>
        <v/>
      </c>
      <c r="F52" s="197" t="str">
        <f t="shared" si="8"/>
        <v/>
      </c>
      <c r="G52" s="198" t="str">
        <f t="shared" si="13"/>
        <v/>
      </c>
      <c r="H52" s="198" t="str">
        <f>IFERROR(ROUND(IF(E52="","",($H$44-SUM($F$44:F52))),2),"")</f>
        <v/>
      </c>
      <c r="I52" s="198"/>
      <c r="J52" s="199">
        <f t="shared" si="2"/>
        <v>30</v>
      </c>
      <c r="K52" s="200">
        <f t="shared" si="9"/>
        <v>30</v>
      </c>
      <c r="L52" s="201">
        <f t="shared" si="10"/>
        <v>2.1442707042140203E-2</v>
      </c>
      <c r="M52" s="202">
        <f t="shared" si="3"/>
        <v>9.0183907479365786</v>
      </c>
      <c r="N52" s="203">
        <f t="shared" si="4"/>
        <v>582.14900450911637</v>
      </c>
      <c r="O52" s="316">
        <f t="shared" si="11"/>
        <v>552.14900450911637</v>
      </c>
      <c r="P52" s="205">
        <f t="shared" si="5"/>
        <v>-2187.3102986997451</v>
      </c>
      <c r="Q52" s="209">
        <f>NPV($F$36,O44:O52)</f>
        <v>-2187.3102986997451</v>
      </c>
      <c r="R52" s="192">
        <f t="shared" si="0"/>
        <v>1</v>
      </c>
      <c r="S52" s="207"/>
      <c r="T52" s="150"/>
      <c r="U52" s="145"/>
      <c r="V52" s="145"/>
      <c r="W52" s="145"/>
      <c r="X52" s="145"/>
      <c r="Y52" s="145"/>
      <c r="Z52" s="145"/>
      <c r="AA52" s="145"/>
      <c r="AB52" s="145"/>
      <c r="AC52" s="145"/>
    </row>
    <row r="53" spans="1:29" ht="15.75" x14ac:dyDescent="0.25">
      <c r="A53" s="192">
        <v>9</v>
      </c>
      <c r="B53" s="193">
        <f t="shared" si="6"/>
        <v>4184.7788978146045</v>
      </c>
      <c r="C53" s="208">
        <f t="shared" si="7"/>
        <v>0.15292660068083147</v>
      </c>
      <c r="D53" s="195">
        <f t="shared" si="1"/>
        <v>639.96401144366405</v>
      </c>
      <c r="E53" s="196" t="str">
        <f t="shared" si="12"/>
        <v/>
      </c>
      <c r="F53" s="197" t="str">
        <f t="shared" si="8"/>
        <v/>
      </c>
      <c r="G53" s="198" t="str">
        <f t="shared" si="13"/>
        <v/>
      </c>
      <c r="H53" s="198" t="str">
        <f>IFERROR(ROUND(IF(E53="","",($H$44-SUM($F$44:F53))),2),"")</f>
        <v/>
      </c>
      <c r="I53" s="198"/>
      <c r="J53" s="199">
        <f t="shared" si="2"/>
        <v>30</v>
      </c>
      <c r="K53" s="200">
        <f t="shared" si="9"/>
        <v>30</v>
      </c>
      <c r="L53" s="201">
        <f t="shared" si="10"/>
        <v>2.1657134112561604E-2</v>
      </c>
      <c r="M53" s="202">
        <f t="shared" si="3"/>
        <v>9.0630317821388626</v>
      </c>
      <c r="N53" s="203">
        <f t="shared" si="4"/>
        <v>585.03064208143655</v>
      </c>
      <c r="O53" s="316">
        <f t="shared" si="11"/>
        <v>555.03064208143655</v>
      </c>
      <c r="P53" s="205">
        <f t="shared" si="5"/>
        <v>-1632.2796566183085</v>
      </c>
      <c r="Q53" s="209">
        <f>NPV($F$36,O44:O53)</f>
        <v>-1632.2796566183085</v>
      </c>
      <c r="R53" s="192">
        <f t="shared" si="0"/>
        <v>1</v>
      </c>
      <c r="S53" s="207"/>
      <c r="T53" s="150"/>
      <c r="U53" s="145"/>
      <c r="V53" s="145"/>
      <c r="W53" s="145"/>
      <c r="X53" s="145"/>
      <c r="Y53" s="145"/>
      <c r="Z53" s="145"/>
      <c r="AA53" s="145"/>
      <c r="AB53" s="145"/>
      <c r="AC53" s="145"/>
    </row>
    <row r="54" spans="1:29" ht="15.75" x14ac:dyDescent="0.25">
      <c r="A54" s="192">
        <v>10</v>
      </c>
      <c r="B54" s="193">
        <f t="shared" si="6"/>
        <v>4163.8550033255315</v>
      </c>
      <c r="C54" s="208">
        <f t="shared" si="7"/>
        <v>0.15445586668763978</v>
      </c>
      <c r="D54" s="195">
        <f t="shared" si="1"/>
        <v>643.13183330031018</v>
      </c>
      <c r="E54" s="196" t="str">
        <f t="shared" si="12"/>
        <v/>
      </c>
      <c r="F54" s="197" t="str">
        <f t="shared" si="8"/>
        <v/>
      </c>
      <c r="G54" s="198" t="str">
        <f t="shared" si="13"/>
        <v/>
      </c>
      <c r="H54" s="198" t="str">
        <f>IFERROR(ROUND(IF(E54="","",($H$44-SUM($F$44:F54))),2),"")</f>
        <v/>
      </c>
      <c r="I54" s="198"/>
      <c r="J54" s="199">
        <f t="shared" si="2"/>
        <v>30</v>
      </c>
      <c r="K54" s="200">
        <f t="shared" si="9"/>
        <v>30</v>
      </c>
      <c r="L54" s="201">
        <f t="shared" si="10"/>
        <v>2.187370545368722E-2</v>
      </c>
      <c r="M54" s="202">
        <f t="shared" si="3"/>
        <v>9.1078937894604497</v>
      </c>
      <c r="N54" s="203">
        <f t="shared" si="4"/>
        <v>587.92654375973962</v>
      </c>
      <c r="O54" s="316">
        <f t="shared" si="11"/>
        <v>557.92654375973962</v>
      </c>
      <c r="P54" s="205">
        <f t="shared" si="5"/>
        <v>-1074.3531128585689</v>
      </c>
      <c r="Q54" s="209">
        <f>NPV($F$36,O44:O54)</f>
        <v>-1074.3531128585689</v>
      </c>
      <c r="R54" s="192">
        <f t="shared" si="0"/>
        <v>1</v>
      </c>
      <c r="S54" s="207"/>
      <c r="T54" s="150"/>
      <c r="U54" s="145"/>
      <c r="V54" s="145"/>
      <c r="W54" s="145"/>
      <c r="X54" s="145"/>
      <c r="Y54" s="145"/>
      <c r="Z54" s="145"/>
      <c r="AA54" s="145"/>
      <c r="AB54" s="145"/>
      <c r="AC54" s="145"/>
    </row>
    <row r="55" spans="1:29" ht="15.75" x14ac:dyDescent="0.25">
      <c r="A55" s="192">
        <v>11</v>
      </c>
      <c r="B55" s="193">
        <f t="shared" si="6"/>
        <v>4143.0357283089043</v>
      </c>
      <c r="C55" s="208">
        <f t="shared" si="7"/>
        <v>0.15600042535451616</v>
      </c>
      <c r="D55" s="195">
        <f t="shared" si="1"/>
        <v>646.31533587514673</v>
      </c>
      <c r="E55" s="196" t="str">
        <f t="shared" si="12"/>
        <v/>
      </c>
      <c r="F55" s="197" t="str">
        <f t="shared" si="8"/>
        <v/>
      </c>
      <c r="G55" s="198" t="str">
        <f t="shared" si="13"/>
        <v/>
      </c>
      <c r="H55" s="198" t="str">
        <f>IFERROR(ROUND(IF(E55="","",($H$44-SUM($F$44:F55))),2),"")</f>
        <v/>
      </c>
      <c r="I55" s="198"/>
      <c r="J55" s="199">
        <f t="shared" si="2"/>
        <v>30</v>
      </c>
      <c r="K55" s="200">
        <f t="shared" si="9"/>
        <v>30</v>
      </c>
      <c r="L55" s="201">
        <f t="shared" si="10"/>
        <v>2.2092442508224092E-2</v>
      </c>
      <c r="M55" s="202">
        <f t="shared" si="3"/>
        <v>9.1529778637182808</v>
      </c>
      <c r="N55" s="203">
        <f t="shared" si="4"/>
        <v>590.83678015135035</v>
      </c>
      <c r="O55" s="316">
        <f t="shared" si="11"/>
        <v>560.83678015135035</v>
      </c>
      <c r="P55" s="205">
        <f t="shared" si="5"/>
        <v>-513.51633270721857</v>
      </c>
      <c r="Q55" s="209">
        <f>NPV($F$36,O44:O55)</f>
        <v>-513.51633270721857</v>
      </c>
      <c r="R55" s="192">
        <f t="shared" si="0"/>
        <v>1</v>
      </c>
      <c r="S55" s="207"/>
      <c r="T55" s="150"/>
      <c r="U55" s="145"/>
      <c r="V55" s="145"/>
      <c r="W55" s="145"/>
      <c r="X55" s="145"/>
      <c r="Y55" s="145"/>
      <c r="Z55" s="145"/>
      <c r="AA55" s="145"/>
      <c r="AB55" s="145"/>
      <c r="AC55" s="145"/>
    </row>
    <row r="56" spans="1:29" ht="15.75" x14ac:dyDescent="0.25">
      <c r="A56" s="192">
        <v>12</v>
      </c>
      <c r="B56" s="193">
        <f t="shared" si="6"/>
        <v>4122.32054966736</v>
      </c>
      <c r="C56" s="208">
        <f t="shared" si="7"/>
        <v>0.15756042960806133</v>
      </c>
      <c r="D56" s="195">
        <f t="shared" si="1"/>
        <v>649.51459678772869</v>
      </c>
      <c r="E56" s="196" t="str">
        <f t="shared" si="12"/>
        <v/>
      </c>
      <c r="F56" s="197" t="str">
        <f t="shared" si="8"/>
        <v/>
      </c>
      <c r="G56" s="198" t="str">
        <f t="shared" si="13"/>
        <v/>
      </c>
      <c r="H56" s="198" t="str">
        <f>IFERROR(ROUND(IF(E56="","",($H$44-SUM($F$44:F56))),2),"")</f>
        <v/>
      </c>
      <c r="I56" s="198"/>
      <c r="J56" s="199">
        <f t="shared" si="2"/>
        <v>30</v>
      </c>
      <c r="K56" s="200">
        <f t="shared" si="9"/>
        <v>30</v>
      </c>
      <c r="L56" s="201">
        <f t="shared" si="10"/>
        <v>2.2313366933306333E-2</v>
      </c>
      <c r="M56" s="202">
        <f t="shared" si="3"/>
        <v>9.1982851041436859</v>
      </c>
      <c r="N56" s="203">
        <f t="shared" si="4"/>
        <v>593.76142221309954</v>
      </c>
      <c r="O56" s="316">
        <f t="shared" si="11"/>
        <v>563.76142221309954</v>
      </c>
      <c r="P56" s="205">
        <f t="shared" si="5"/>
        <v>50.245089505880969</v>
      </c>
      <c r="Q56" s="209">
        <f>NPV($F$36,O44:O56)</f>
        <v>50.245089505880969</v>
      </c>
      <c r="R56" s="192">
        <f t="shared" si="0"/>
        <v>0</v>
      </c>
      <c r="S56" s="207"/>
      <c r="T56" s="150"/>
      <c r="U56" s="145"/>
      <c r="V56" s="145"/>
      <c r="W56" s="145"/>
      <c r="X56" s="145"/>
      <c r="Y56" s="145"/>
      <c r="Z56" s="145"/>
      <c r="AA56" s="145"/>
      <c r="AB56" s="145"/>
      <c r="AC56" s="145"/>
    </row>
    <row r="57" spans="1:29" ht="15.75" x14ac:dyDescent="0.25">
      <c r="A57" s="192">
        <v>13</v>
      </c>
      <c r="B57" s="193">
        <f t="shared" si="6"/>
        <v>4101.7089469190232</v>
      </c>
      <c r="C57" s="208">
        <f t="shared" si="7"/>
        <v>0.15913603390414194</v>
      </c>
      <c r="D57" s="195">
        <f t="shared" si="1"/>
        <v>652.729694041828</v>
      </c>
      <c r="E57" s="196" t="str">
        <f t="shared" si="12"/>
        <v/>
      </c>
      <c r="F57" s="197" t="str">
        <f t="shared" si="8"/>
        <v/>
      </c>
      <c r="G57" s="198" t="str">
        <f t="shared" si="13"/>
        <v/>
      </c>
      <c r="H57" s="198" t="str">
        <f>IFERROR(ROUND(IF(E57="","",($H$44-SUM($F$44:F57))),2),"")</f>
        <v/>
      </c>
      <c r="I57" s="198"/>
      <c r="J57" s="199">
        <f t="shared" si="2"/>
        <v>30</v>
      </c>
      <c r="K57" s="200">
        <f t="shared" si="9"/>
        <v>30</v>
      </c>
      <c r="L57" s="201">
        <f t="shared" si="10"/>
        <v>2.2536500602639398E-2</v>
      </c>
      <c r="M57" s="202">
        <f t="shared" si="3"/>
        <v>9.2438166154091981</v>
      </c>
      <c r="N57" s="203">
        <f t="shared" si="4"/>
        <v>596.70054125305444</v>
      </c>
      <c r="O57" s="316">
        <f t="shared" si="11"/>
        <v>566.70054125305444</v>
      </c>
      <c r="P57" s="205">
        <f t="shared" si="5"/>
        <v>616.94563075893541</v>
      </c>
      <c r="Q57" s="209">
        <f>NPV($F$36,O44:O57)</f>
        <v>616.94563075893541</v>
      </c>
      <c r="R57" s="192">
        <f t="shared" si="0"/>
        <v>0</v>
      </c>
      <c r="S57" s="207"/>
      <c r="T57" s="150"/>
      <c r="U57" s="145"/>
      <c r="V57" s="145"/>
      <c r="W57" s="145"/>
      <c r="X57" s="145"/>
      <c r="Y57" s="145"/>
      <c r="Z57" s="145"/>
      <c r="AA57" s="145"/>
      <c r="AB57" s="145"/>
      <c r="AC57" s="145"/>
    </row>
    <row r="58" spans="1:29" ht="15.75" x14ac:dyDescent="0.25">
      <c r="A58" s="192">
        <v>14</v>
      </c>
      <c r="B58" s="193">
        <f t="shared" si="6"/>
        <v>4081.2004021844282</v>
      </c>
      <c r="C58" s="208">
        <f t="shared" si="7"/>
        <v>0.16072739424318336</v>
      </c>
      <c r="D58" s="195">
        <f t="shared" si="1"/>
        <v>655.96070602733505</v>
      </c>
      <c r="E58" s="196" t="str">
        <f t="shared" si="12"/>
        <v/>
      </c>
      <c r="F58" s="197" t="str">
        <f t="shared" si="8"/>
        <v/>
      </c>
      <c r="G58" s="198" t="str">
        <f t="shared" si="13"/>
        <v/>
      </c>
      <c r="H58" s="198" t="str">
        <f>IFERROR(ROUND(IF(E58="","",($H$44-SUM($F$44:F58))),2),"")</f>
        <v/>
      </c>
      <c r="I58" s="198"/>
      <c r="J58" s="199">
        <f>$F$38</f>
        <v>30</v>
      </c>
      <c r="K58" s="200">
        <f t="shared" si="9"/>
        <v>30</v>
      </c>
      <c r="L58" s="201">
        <f t="shared" si="10"/>
        <v>2.2761865608665791E-2</v>
      </c>
      <c r="M58" s="202">
        <f t="shared" si="3"/>
        <v>9.289573507655474</v>
      </c>
      <c r="N58" s="203">
        <f t="shared" si="4"/>
        <v>599.65420893225712</v>
      </c>
      <c r="O58" s="316">
        <f t="shared" si="11"/>
        <v>569.65420893225712</v>
      </c>
      <c r="P58" s="205">
        <f t="shared" si="5"/>
        <v>1186.5998396911925</v>
      </c>
      <c r="Q58" s="209">
        <f>NPV($F$36,O44:O58)</f>
        <v>1186.5998396911925</v>
      </c>
      <c r="R58" s="192">
        <f t="shared" si="0"/>
        <v>0</v>
      </c>
      <c r="S58" s="207"/>
      <c r="T58" s="150"/>
      <c r="U58" s="145"/>
      <c r="V58" s="145"/>
      <c r="W58" s="145"/>
      <c r="X58" s="145"/>
      <c r="Y58" s="145"/>
      <c r="Z58" s="145"/>
      <c r="AA58" s="145"/>
      <c r="AB58" s="145"/>
      <c r="AC58" s="145"/>
    </row>
    <row r="59" spans="1:29" ht="15.75" x14ac:dyDescent="0.25">
      <c r="A59" s="192">
        <v>15</v>
      </c>
      <c r="B59" s="193">
        <f t="shared" si="6"/>
        <v>4060.7944001735059</v>
      </c>
      <c r="C59" s="208">
        <f t="shared" si="7"/>
        <v>0.16233466818561521</v>
      </c>
      <c r="D59" s="195">
        <f t="shared" si="1"/>
        <v>659.20771152217037</v>
      </c>
      <c r="E59" s="196" t="str">
        <f t="shared" si="12"/>
        <v/>
      </c>
      <c r="F59" s="197" t="str">
        <f t="shared" si="8"/>
        <v/>
      </c>
      <c r="G59" s="198" t="str">
        <f t="shared" si="13"/>
        <v/>
      </c>
      <c r="H59" s="198" t="str">
        <f>IFERROR(ROUND(IF(E59="","",($H$44-SUM($F$44:F59))),2),"")</f>
        <v/>
      </c>
      <c r="I59" s="198"/>
      <c r="J59" s="199">
        <f>$F$38+F27*F37</f>
        <v>610</v>
      </c>
      <c r="K59" s="200">
        <f t="shared" si="9"/>
        <v>610</v>
      </c>
      <c r="L59" s="201">
        <f t="shared" si="10"/>
        <v>2.298948426475245E-2</v>
      </c>
      <c r="M59" s="202">
        <f t="shared" si="3"/>
        <v>9.3355568965183693</v>
      </c>
      <c r="N59" s="203">
        <f t="shared" si="4"/>
        <v>602.62249726647167</v>
      </c>
      <c r="O59" s="316">
        <f t="shared" si="11"/>
        <v>-7.3775027335283312</v>
      </c>
      <c r="P59" s="205">
        <f t="shared" si="5"/>
        <v>1179.2223369576641</v>
      </c>
      <c r="Q59" s="209">
        <f>NPV($F$36,O44:O59)</f>
        <v>1179.2223369576641</v>
      </c>
      <c r="R59" s="192">
        <f t="shared" si="0"/>
        <v>0</v>
      </c>
      <c r="S59" s="207"/>
      <c r="T59" s="150"/>
      <c r="U59" s="145"/>
      <c r="V59" s="145"/>
      <c r="W59" s="145"/>
      <c r="X59" s="145"/>
      <c r="Y59" s="145"/>
      <c r="Z59" s="145"/>
      <c r="AA59" s="145"/>
      <c r="AB59" s="145"/>
      <c r="AC59" s="145"/>
    </row>
    <row r="60" spans="1:29" ht="15.75" x14ac:dyDescent="0.25">
      <c r="A60" s="192">
        <v>16</v>
      </c>
      <c r="B60" s="193">
        <f t="shared" si="6"/>
        <v>4040.4904281726385</v>
      </c>
      <c r="C60" s="208">
        <f t="shared" si="7"/>
        <v>0.16395801486747136</v>
      </c>
      <c r="D60" s="195">
        <f t="shared" si="1"/>
        <v>662.47078969420522</v>
      </c>
      <c r="E60" s="196" t="str">
        <f t="shared" si="12"/>
        <v/>
      </c>
      <c r="F60" s="197" t="str">
        <f t="shared" si="8"/>
        <v/>
      </c>
      <c r="G60" s="198" t="str">
        <f t="shared" si="13"/>
        <v/>
      </c>
      <c r="H60" s="198" t="str">
        <f>IFERROR(ROUND(IF(E60="","",($H$44-SUM($F$44:F60))),2),"")</f>
        <v/>
      </c>
      <c r="I60" s="198"/>
      <c r="J60" s="199">
        <f t="shared" ref="J60:J74" si="14">$F$38</f>
        <v>30</v>
      </c>
      <c r="K60" s="200">
        <f t="shared" si="9"/>
        <v>30</v>
      </c>
      <c r="L60" s="201">
        <f t="shared" si="10"/>
        <v>2.3219379107399976E-2</v>
      </c>
      <c r="M60" s="202">
        <f t="shared" si="3"/>
        <v>9.3817679031561347</v>
      </c>
      <c r="N60" s="203">
        <f t="shared" si="4"/>
        <v>605.6054786279409</v>
      </c>
      <c r="O60" s="316">
        <f t="shared" si="11"/>
        <v>575.6054786279409</v>
      </c>
      <c r="P60" s="205">
        <f t="shared" si="5"/>
        <v>1754.8278155856051</v>
      </c>
      <c r="Q60" s="209">
        <f>NPV($F$36,O44:O60)</f>
        <v>1754.8278155856051</v>
      </c>
      <c r="R60" s="192">
        <f t="shared" si="0"/>
        <v>0</v>
      </c>
      <c r="S60" s="207"/>
      <c r="T60" s="150"/>
      <c r="U60" s="145"/>
      <c r="V60" s="145"/>
      <c r="W60" s="145"/>
      <c r="X60" s="145"/>
      <c r="Y60" s="145"/>
      <c r="Z60" s="145"/>
      <c r="AA60" s="145"/>
      <c r="AB60" s="145"/>
      <c r="AC60" s="145"/>
    </row>
    <row r="61" spans="1:29" ht="15.75" x14ac:dyDescent="0.25">
      <c r="A61" s="192">
        <v>17</v>
      </c>
      <c r="B61" s="193">
        <f t="shared" si="6"/>
        <v>4020.2879760317755</v>
      </c>
      <c r="C61" s="208">
        <f t="shared" si="7"/>
        <v>0.16559759501614607</v>
      </c>
      <c r="D61" s="195">
        <f t="shared" si="1"/>
        <v>665.75002010319156</v>
      </c>
      <c r="E61" s="196" t="str">
        <f t="shared" si="12"/>
        <v/>
      </c>
      <c r="F61" s="197" t="str">
        <f t="shared" si="8"/>
        <v/>
      </c>
      <c r="G61" s="198" t="str">
        <f t="shared" si="13"/>
        <v/>
      </c>
      <c r="H61" s="198" t="str">
        <f>IFERROR(ROUND(IF(E61="","",($H$44-SUM($F$44:F61))),2),"")</f>
        <v/>
      </c>
      <c r="I61" s="198"/>
      <c r="J61" s="199">
        <f t="shared" si="14"/>
        <v>30</v>
      </c>
      <c r="K61" s="200">
        <f t="shared" si="9"/>
        <v>30</v>
      </c>
      <c r="L61" s="201">
        <f t="shared" si="10"/>
        <v>2.3451572898473976E-2</v>
      </c>
      <c r="M61" s="202">
        <f t="shared" si="3"/>
        <v>9.4282076542767577</v>
      </c>
      <c r="N61" s="203">
        <f t="shared" si="4"/>
        <v>608.60322574714917</v>
      </c>
      <c r="O61" s="316">
        <f t="shared" si="11"/>
        <v>578.60322574714917</v>
      </c>
      <c r="P61" s="205">
        <f t="shared" si="5"/>
        <v>2333.4310413327544</v>
      </c>
      <c r="Q61" s="209">
        <f>NPV($F$36,O44:O61)</f>
        <v>2333.4310413327544</v>
      </c>
      <c r="R61" s="192">
        <f t="shared" si="0"/>
        <v>0</v>
      </c>
      <c r="S61" s="207"/>
      <c r="T61" s="150"/>
      <c r="U61" s="145"/>
      <c r="V61" s="145"/>
      <c r="W61" s="145"/>
      <c r="X61" s="145"/>
      <c r="Y61" s="145"/>
      <c r="Z61" s="145"/>
      <c r="AA61" s="145"/>
      <c r="AB61" s="145"/>
      <c r="AC61" s="145"/>
    </row>
    <row r="62" spans="1:29" ht="15.75" x14ac:dyDescent="0.25">
      <c r="A62" s="192">
        <v>18</v>
      </c>
      <c r="B62" s="193">
        <f t="shared" si="6"/>
        <v>4000.1865361516166</v>
      </c>
      <c r="C62" s="208">
        <f t="shared" si="7"/>
        <v>0.16725357096630752</v>
      </c>
      <c r="D62" s="195">
        <f t="shared" si="1"/>
        <v>669.04548270270232</v>
      </c>
      <c r="E62" s="196" t="str">
        <f t="shared" si="12"/>
        <v/>
      </c>
      <c r="F62" s="197" t="str">
        <f t="shared" si="8"/>
        <v/>
      </c>
      <c r="G62" s="198" t="str">
        <f t="shared" si="13"/>
        <v/>
      </c>
      <c r="H62" s="198" t="str">
        <f>IFERROR(ROUND(IF(E62="","",($H$44-SUM($F$44:F62))),2),"")</f>
        <v/>
      </c>
      <c r="I62" s="198"/>
      <c r="J62" s="199">
        <f t="shared" si="14"/>
        <v>30</v>
      </c>
      <c r="K62" s="200">
        <f t="shared" si="9"/>
        <v>30</v>
      </c>
      <c r="L62" s="201">
        <f t="shared" si="10"/>
        <v>2.3686088627458714E-2</v>
      </c>
      <c r="M62" s="202">
        <f t="shared" si="3"/>
        <v>9.4748772821654281</v>
      </c>
      <c r="N62" s="203">
        <f t="shared" si="4"/>
        <v>611.6158117145975</v>
      </c>
      <c r="O62" s="316">
        <f t="shared" si="11"/>
        <v>581.6158117145975</v>
      </c>
      <c r="P62" s="205">
        <f t="shared" si="5"/>
        <v>2915.0468530473518</v>
      </c>
      <c r="Q62" s="209">
        <f>NPV($F$36,O44:O62)</f>
        <v>2915.0468530473518</v>
      </c>
      <c r="R62" s="192">
        <f t="shared" si="0"/>
        <v>0</v>
      </c>
      <c r="S62" s="207"/>
      <c r="T62" s="150"/>
      <c r="U62" s="145"/>
      <c r="V62" s="145"/>
      <c r="W62" s="145"/>
      <c r="X62" s="145"/>
      <c r="Y62" s="145"/>
      <c r="Z62" s="145"/>
      <c r="AA62" s="145"/>
      <c r="AB62" s="145"/>
      <c r="AC62" s="145"/>
    </row>
    <row r="63" spans="1:29" ht="15.75" x14ac:dyDescent="0.25">
      <c r="A63" s="192">
        <v>19</v>
      </c>
      <c r="B63" s="193">
        <f t="shared" si="6"/>
        <v>3980.1856034708585</v>
      </c>
      <c r="C63" s="208">
        <f t="shared" si="7"/>
        <v>0.16892610667597061</v>
      </c>
      <c r="D63" s="195">
        <f t="shared" si="1"/>
        <v>672.35725784208068</v>
      </c>
      <c r="E63" s="196" t="str">
        <f t="shared" si="12"/>
        <v/>
      </c>
      <c r="F63" s="197" t="str">
        <f t="shared" si="8"/>
        <v/>
      </c>
      <c r="G63" s="198" t="str">
        <f t="shared" si="13"/>
        <v/>
      </c>
      <c r="H63" s="198" t="str">
        <f>IFERROR(ROUND(IF(E63="","",($H$44-SUM($F$44:F63))),2),"")</f>
        <v/>
      </c>
      <c r="I63" s="198"/>
      <c r="J63" s="199">
        <f t="shared" si="14"/>
        <v>30</v>
      </c>
      <c r="K63" s="200">
        <f t="shared" si="9"/>
        <v>30</v>
      </c>
      <c r="L63" s="201">
        <f t="shared" si="10"/>
        <v>2.3922949513733301E-2</v>
      </c>
      <c r="M63" s="202">
        <f t="shared" si="3"/>
        <v>9.521777924712147</v>
      </c>
      <c r="N63" s="203">
        <f t="shared" si="4"/>
        <v>614.64330998258481</v>
      </c>
      <c r="O63" s="316">
        <f t="shared" si="11"/>
        <v>584.64330998258481</v>
      </c>
      <c r="P63" s="205">
        <f t="shared" si="5"/>
        <v>3499.6901630299367</v>
      </c>
      <c r="Q63" s="209">
        <f>NPV($F$36,O44:O63)</f>
        <v>3499.6901630299367</v>
      </c>
      <c r="R63" s="192">
        <f t="shared" si="0"/>
        <v>0</v>
      </c>
      <c r="S63" s="207"/>
      <c r="T63" s="150"/>
      <c r="U63" s="145"/>
      <c r="V63" s="145"/>
      <c r="W63" s="145"/>
      <c r="X63" s="145"/>
      <c r="Y63" s="145"/>
      <c r="Z63" s="145"/>
      <c r="AA63" s="145"/>
      <c r="AB63" s="145"/>
      <c r="AC63" s="145"/>
    </row>
    <row r="64" spans="1:29" ht="15.75" x14ac:dyDescent="0.25">
      <c r="A64" s="192">
        <v>20</v>
      </c>
      <c r="B64" s="193">
        <f t="shared" si="6"/>
        <v>3960.2846754535044</v>
      </c>
      <c r="C64" s="208">
        <f t="shared" si="7"/>
        <v>0.17061536774273031</v>
      </c>
      <c r="D64" s="195">
        <f t="shared" si="1"/>
        <v>675.68542626839906</v>
      </c>
      <c r="E64" s="196" t="str">
        <f t="shared" si="12"/>
        <v/>
      </c>
      <c r="F64" s="197" t="str">
        <f t="shared" si="8"/>
        <v/>
      </c>
      <c r="G64" s="198" t="str">
        <f t="shared" si="13"/>
        <v/>
      </c>
      <c r="H64" s="198" t="str">
        <f>IFERROR(ROUND(IF(E64="","",($H$44-SUM($F$44:F64))),2),"")</f>
        <v/>
      </c>
      <c r="I64" s="198"/>
      <c r="J64" s="199">
        <f t="shared" si="14"/>
        <v>30</v>
      </c>
      <c r="K64" s="200">
        <f t="shared" si="9"/>
        <v>30</v>
      </c>
      <c r="L64" s="201">
        <f t="shared" si="10"/>
        <v>2.4162179008870636E-2</v>
      </c>
      <c r="M64" s="202">
        <f t="shared" si="3"/>
        <v>9.5689107254394727</v>
      </c>
      <c r="N64" s="203">
        <f t="shared" si="4"/>
        <v>617.68579436699861</v>
      </c>
      <c r="O64" s="316">
        <f t="shared" si="11"/>
        <v>587.68579436699861</v>
      </c>
      <c r="P64" s="205">
        <f t="shared" si="5"/>
        <v>4087.3759573969355</v>
      </c>
      <c r="Q64" s="209">
        <f>NPV($F$36,O44:O64)</f>
        <v>4087.3759573969355</v>
      </c>
      <c r="R64" s="192">
        <f t="shared" si="0"/>
        <v>0</v>
      </c>
      <c r="S64" s="207"/>
      <c r="T64" s="150"/>
      <c r="U64" s="145"/>
      <c r="V64" s="145"/>
      <c r="W64" s="145"/>
      <c r="X64" s="145"/>
      <c r="Y64" s="145"/>
      <c r="Z64" s="145"/>
      <c r="AA64" s="145"/>
      <c r="AB64" s="145"/>
      <c r="AC64" s="145"/>
    </row>
    <row r="65" spans="1:29" ht="15.75" x14ac:dyDescent="0.25">
      <c r="A65" s="192">
        <v>21</v>
      </c>
      <c r="B65" s="193">
        <f t="shared" si="6"/>
        <v>3940.483252076237</v>
      </c>
      <c r="C65" s="208">
        <f t="shared" si="7"/>
        <v>0.17232152142015761</v>
      </c>
      <c r="D65" s="195">
        <f t="shared" si="1"/>
        <v>679.03006912842761</v>
      </c>
      <c r="E65" s="196"/>
      <c r="F65" s="197"/>
      <c r="G65" s="198" t="s">
        <v>4</v>
      </c>
      <c r="H65" s="198"/>
      <c r="I65" s="198"/>
      <c r="J65" s="199">
        <f t="shared" si="14"/>
        <v>30</v>
      </c>
      <c r="K65" s="200">
        <f t="shared" si="9"/>
        <v>30</v>
      </c>
      <c r="L65" s="201">
        <f t="shared" si="10"/>
        <v>2.4403800798959343E-2</v>
      </c>
      <c r="M65" s="202">
        <f t="shared" si="3"/>
        <v>9.6162768335303994</v>
      </c>
      <c r="N65" s="203">
        <f t="shared" si="4"/>
        <v>620.74333904911521</v>
      </c>
      <c r="O65" s="316">
        <f t="shared" si="11"/>
        <v>590.74333904911521</v>
      </c>
      <c r="P65" s="205">
        <f t="shared" si="5"/>
        <v>4678.1192964460506</v>
      </c>
      <c r="Q65" s="209">
        <f>NPV($F$36,O44:O65)</f>
        <v>4678.1192964460506</v>
      </c>
      <c r="R65" s="192">
        <f t="shared" si="0"/>
        <v>0</v>
      </c>
      <c r="S65" s="207"/>
      <c r="T65" s="150"/>
      <c r="U65" s="145"/>
      <c r="V65" s="145"/>
      <c r="W65" s="145"/>
      <c r="X65" s="145"/>
      <c r="Y65" s="145"/>
      <c r="Z65" s="145"/>
      <c r="AA65" s="145"/>
      <c r="AB65" s="145"/>
      <c r="AC65" s="145"/>
    </row>
    <row r="66" spans="1:29" ht="15.75" x14ac:dyDescent="0.25">
      <c r="A66" s="192">
        <v>22</v>
      </c>
      <c r="B66" s="193">
        <f t="shared" si="6"/>
        <v>3920.7808358158559</v>
      </c>
      <c r="C66" s="208">
        <f t="shared" si="7"/>
        <v>0.17404473663435918</v>
      </c>
      <c r="D66" s="195">
        <f t="shared" si="1"/>
        <v>682.39126797061328</v>
      </c>
      <c r="E66" s="196"/>
      <c r="F66" s="197"/>
      <c r="G66" s="198" t="s">
        <v>4</v>
      </c>
      <c r="H66" s="198"/>
      <c r="I66" s="198"/>
      <c r="J66" s="199">
        <f t="shared" si="14"/>
        <v>30</v>
      </c>
      <c r="K66" s="200">
        <f t="shared" si="9"/>
        <v>30</v>
      </c>
      <c r="L66" s="201">
        <f t="shared" si="10"/>
        <v>2.4647838806948937E-2</v>
      </c>
      <c r="M66" s="202">
        <f t="shared" si="3"/>
        <v>9.6638774038563735</v>
      </c>
      <c r="N66" s="203">
        <f t="shared" si="4"/>
        <v>623.81601857740839</v>
      </c>
      <c r="O66" s="316">
        <f t="shared" si="11"/>
        <v>593.81601857740839</v>
      </c>
      <c r="P66" s="205">
        <f t="shared" si="5"/>
        <v>5271.9353150234592</v>
      </c>
      <c r="Q66" s="209">
        <f>NPV($F$36,O44:O66)</f>
        <v>5271.9353150234592</v>
      </c>
      <c r="R66" s="192">
        <f t="shared" si="0"/>
        <v>0</v>
      </c>
      <c r="S66" s="207"/>
      <c r="T66" s="150"/>
      <c r="U66" s="145"/>
      <c r="V66" s="145"/>
      <c r="W66" s="145"/>
      <c r="X66" s="145"/>
      <c r="Y66" s="145"/>
      <c r="Z66" s="145"/>
      <c r="AA66" s="145"/>
      <c r="AB66" s="145"/>
      <c r="AC66" s="145"/>
    </row>
    <row r="67" spans="1:29" ht="15.75" x14ac:dyDescent="0.25">
      <c r="A67" s="192">
        <v>23</v>
      </c>
      <c r="B67" s="193">
        <f t="shared" si="6"/>
        <v>3901.1769316367768</v>
      </c>
      <c r="C67" s="208">
        <f t="shared" si="7"/>
        <v>0.17578518400070278</v>
      </c>
      <c r="D67" s="195">
        <f t="shared" si="1"/>
        <v>685.7691047470679</v>
      </c>
      <c r="E67" s="196"/>
      <c r="F67" s="197"/>
      <c r="G67" s="198" t="s">
        <v>4</v>
      </c>
      <c r="H67" s="198"/>
      <c r="I67" s="198"/>
      <c r="J67" s="199">
        <f t="shared" si="14"/>
        <v>30</v>
      </c>
      <c r="K67" s="200">
        <f t="shared" si="9"/>
        <v>30</v>
      </c>
      <c r="L67" s="201">
        <f t="shared" si="10"/>
        <v>2.4894317195018428E-2</v>
      </c>
      <c r="M67" s="202">
        <f t="shared" si="3"/>
        <v>9.7117135970054651</v>
      </c>
      <c r="N67" s="203">
        <f t="shared" si="4"/>
        <v>626.90390786936655</v>
      </c>
      <c r="O67" s="316">
        <f t="shared" si="11"/>
        <v>596.90390786936655</v>
      </c>
      <c r="P67" s="205">
        <f t="shared" si="5"/>
        <v>5868.839222892826</v>
      </c>
      <c r="Q67" s="209">
        <f>NPV($F$36,O44:O67)</f>
        <v>5868.839222892826</v>
      </c>
      <c r="R67" s="192">
        <f t="shared" si="0"/>
        <v>0</v>
      </c>
      <c r="S67" s="207"/>
      <c r="T67" s="150"/>
      <c r="U67" s="145"/>
      <c r="V67" s="145"/>
      <c r="W67" s="145"/>
      <c r="X67" s="145"/>
      <c r="Y67" s="145"/>
      <c r="Z67" s="145"/>
      <c r="AA67" s="145"/>
      <c r="AB67" s="145"/>
      <c r="AC67" s="145"/>
    </row>
    <row r="68" spans="1:29" ht="15.75" x14ac:dyDescent="0.25">
      <c r="A68" s="192">
        <v>24</v>
      </c>
      <c r="B68" s="193">
        <f t="shared" si="6"/>
        <v>3881.671046978593</v>
      </c>
      <c r="C68" s="208">
        <f t="shared" si="7"/>
        <v>0.17754303584070982</v>
      </c>
      <c r="D68" s="195">
        <f t="shared" si="1"/>
        <v>689.163661815566</v>
      </c>
      <c r="E68" s="196"/>
      <c r="F68" s="197"/>
      <c r="G68" s="198" t="s">
        <v>4</v>
      </c>
      <c r="H68" s="198"/>
      <c r="I68" s="198"/>
      <c r="J68" s="199">
        <f t="shared" si="14"/>
        <v>30</v>
      </c>
      <c r="K68" s="200">
        <f t="shared" si="9"/>
        <v>30</v>
      </c>
      <c r="L68" s="201">
        <f t="shared" si="10"/>
        <v>2.5143260366968612E-2</v>
      </c>
      <c r="M68" s="202">
        <f t="shared" si="3"/>
        <v>9.7597865793106422</v>
      </c>
      <c r="N68" s="203">
        <f t="shared" si="4"/>
        <v>630.00708221332013</v>
      </c>
      <c r="O68" s="316">
        <f t="shared" si="11"/>
        <v>600.00708221332013</v>
      </c>
      <c r="P68" s="205">
        <f t="shared" si="5"/>
        <v>6468.8463051061462</v>
      </c>
      <c r="Q68" s="209">
        <f>NPV($F$36,O44:O68)</f>
        <v>6468.8463051061462</v>
      </c>
      <c r="R68" s="192">
        <f t="shared" si="0"/>
        <v>0</v>
      </c>
      <c r="S68" s="207"/>
      <c r="T68" s="150"/>
      <c r="U68" s="145"/>
      <c r="V68" s="145"/>
      <c r="W68" s="145"/>
      <c r="X68" s="145"/>
      <c r="Y68" s="145"/>
      <c r="Z68" s="145"/>
      <c r="AA68" s="145"/>
      <c r="AB68" s="145"/>
      <c r="AC68" s="145"/>
    </row>
    <row r="69" spans="1:29" ht="15.75" x14ac:dyDescent="0.25">
      <c r="A69" s="192">
        <v>25</v>
      </c>
      <c r="B69" s="193">
        <f t="shared" si="6"/>
        <v>3862.2626917437001</v>
      </c>
      <c r="C69" s="208">
        <f t="shared" si="7"/>
        <v>0.17931846619911693</v>
      </c>
      <c r="D69" s="195">
        <f t="shared" si="1"/>
        <v>692.57502194155302</v>
      </c>
      <c r="E69" s="196"/>
      <c r="F69" s="197"/>
      <c r="G69" s="198" t="s">
        <v>4</v>
      </c>
      <c r="H69" s="198"/>
      <c r="I69" s="198"/>
      <c r="J69" s="199">
        <f t="shared" si="14"/>
        <v>30</v>
      </c>
      <c r="K69" s="200">
        <f t="shared" si="9"/>
        <v>30</v>
      </c>
      <c r="L69" s="201">
        <f t="shared" si="10"/>
        <v>2.5394692970638299E-2</v>
      </c>
      <c r="M69" s="202">
        <f t="shared" si="3"/>
        <v>9.8080975228782297</v>
      </c>
      <c r="N69" s="203">
        <f t="shared" si="4"/>
        <v>633.12561727027594</v>
      </c>
      <c r="O69" s="316">
        <f t="shared" si="11"/>
        <v>603.12561727027594</v>
      </c>
      <c r="P69" s="205">
        <f t="shared" si="5"/>
        <v>7071.9719223764223</v>
      </c>
      <c r="Q69" s="209">
        <f>NPV($F$36,O44:O69)</f>
        <v>7071.9719223764223</v>
      </c>
      <c r="R69" s="192">
        <f t="shared" si="0"/>
        <v>0</v>
      </c>
      <c r="S69" s="207"/>
      <c r="T69" s="150"/>
      <c r="U69" s="145"/>
      <c r="V69" s="145"/>
      <c r="W69" s="145"/>
      <c r="X69" s="145"/>
      <c r="Y69" s="145"/>
      <c r="Z69" s="145"/>
      <c r="AA69" s="145"/>
      <c r="AB69" s="145"/>
      <c r="AC69" s="145"/>
    </row>
    <row r="70" spans="1:29" ht="15.75" x14ac:dyDescent="0.25">
      <c r="A70" s="192">
        <v>26</v>
      </c>
      <c r="B70" s="193">
        <f t="shared" si="6"/>
        <v>3842.9513782849817</v>
      </c>
      <c r="C70" s="208">
        <f t="shared" si="7"/>
        <v>0.18111165086110809</v>
      </c>
      <c r="D70" s="195">
        <f t="shared" si="1"/>
        <v>696.00326830016377</v>
      </c>
      <c r="E70" s="196"/>
      <c r="F70" s="197"/>
      <c r="G70" s="198" t="s">
        <v>4</v>
      </c>
      <c r="H70" s="198"/>
      <c r="I70" s="198"/>
      <c r="J70" s="199">
        <f t="shared" si="14"/>
        <v>30</v>
      </c>
      <c r="K70" s="200">
        <f t="shared" si="9"/>
        <v>30</v>
      </c>
      <c r="L70" s="201">
        <f t="shared" si="10"/>
        <v>2.5648639900344682E-2</v>
      </c>
      <c r="M70" s="202">
        <f t="shared" si="3"/>
        <v>9.8566476056164767</v>
      </c>
      <c r="N70" s="203">
        <f t="shared" si="4"/>
        <v>636.25958907576387</v>
      </c>
      <c r="O70" s="316">
        <f t="shared" si="11"/>
        <v>606.25958907576387</v>
      </c>
      <c r="P70" s="205">
        <f t="shared" si="5"/>
        <v>7678.2315114521862</v>
      </c>
      <c r="Q70" s="209">
        <f>NPV($F$36,O44:O70)</f>
        <v>7678.2315114521862</v>
      </c>
      <c r="R70" s="192">
        <f t="shared" si="0"/>
        <v>0</v>
      </c>
      <c r="S70" s="207"/>
      <c r="T70" s="150"/>
      <c r="U70" s="145"/>
      <c r="V70" s="145"/>
      <c r="W70" s="145"/>
      <c r="X70" s="145"/>
      <c r="Y70" s="145"/>
      <c r="Z70" s="145"/>
      <c r="AA70" s="145"/>
      <c r="AB70" s="145"/>
      <c r="AC70" s="145"/>
    </row>
    <row r="71" spans="1:29" ht="15.75" x14ac:dyDescent="0.25">
      <c r="A71" s="192">
        <v>27</v>
      </c>
      <c r="B71" s="193">
        <f t="shared" si="6"/>
        <v>3823.736621393557</v>
      </c>
      <c r="C71" s="208">
        <f t="shared" si="7"/>
        <v>0.18292276736971916</v>
      </c>
      <c r="D71" s="195">
        <f t="shared" si="1"/>
        <v>699.4484844782495</v>
      </c>
      <c r="E71" s="196"/>
      <c r="F71" s="197"/>
      <c r="G71" s="198" t="s">
        <v>4</v>
      </c>
      <c r="H71" s="198"/>
      <c r="I71" s="198"/>
      <c r="J71" s="199">
        <f t="shared" si="14"/>
        <v>30</v>
      </c>
      <c r="K71" s="200">
        <f t="shared" si="9"/>
        <v>30</v>
      </c>
      <c r="L71" s="201">
        <f t="shared" si="10"/>
        <v>2.590512629934813E-2</v>
      </c>
      <c r="M71" s="202">
        <f t="shared" si="3"/>
        <v>9.9054380112642804</v>
      </c>
      <c r="N71" s="203">
        <f t="shared" si="4"/>
        <v>639.40907404168888</v>
      </c>
      <c r="O71" s="316">
        <f t="shared" si="11"/>
        <v>609.40907404168888</v>
      </c>
      <c r="P71" s="205">
        <f t="shared" si="5"/>
        <v>8287.6405854938748</v>
      </c>
      <c r="Q71" s="209">
        <f>NPV($F$36,O44:O71)</f>
        <v>8287.6405854938748</v>
      </c>
      <c r="R71" s="192">
        <f t="shared" si="0"/>
        <v>0</v>
      </c>
      <c r="S71" s="207"/>
      <c r="T71" s="150"/>
      <c r="U71" s="145"/>
      <c r="V71" s="145"/>
      <c r="W71" s="145"/>
      <c r="X71" s="145"/>
      <c r="Y71" s="145"/>
      <c r="Z71" s="145"/>
      <c r="AA71" s="145"/>
      <c r="AB71" s="145"/>
      <c r="AC71" s="145"/>
    </row>
    <row r="72" spans="1:29" ht="15.75" x14ac:dyDescent="0.25">
      <c r="A72" s="192">
        <v>28</v>
      </c>
      <c r="B72" s="193">
        <f t="shared" si="6"/>
        <v>3804.6179382865894</v>
      </c>
      <c r="C72" s="208">
        <f t="shared" si="7"/>
        <v>0.18475199504341636</v>
      </c>
      <c r="D72" s="195">
        <f t="shared" si="1"/>
        <v>702.91075447641697</v>
      </c>
      <c r="E72" s="196"/>
      <c r="F72" s="197"/>
      <c r="G72" s="198" t="s">
        <v>4</v>
      </c>
      <c r="H72" s="198"/>
      <c r="I72" s="198"/>
      <c r="J72" s="199">
        <f t="shared" si="14"/>
        <v>30</v>
      </c>
      <c r="K72" s="200">
        <f t="shared" si="9"/>
        <v>30</v>
      </c>
      <c r="L72" s="201">
        <f t="shared" si="10"/>
        <v>2.6164177562341611E-2</v>
      </c>
      <c r="M72" s="202">
        <f t="shared" si="3"/>
        <v>9.9544699294200392</v>
      </c>
      <c r="N72" s="203">
        <f t="shared" si="4"/>
        <v>642.57414895819534</v>
      </c>
      <c r="O72" s="316">
        <f t="shared" si="11"/>
        <v>612.57414895819534</v>
      </c>
      <c r="P72" s="205">
        <f t="shared" si="5"/>
        <v>8900.2147344520708</v>
      </c>
      <c r="Q72" s="209">
        <f>NPV($F$36,O44:O72)</f>
        <v>8900.2147344520708</v>
      </c>
      <c r="R72" s="210">
        <f t="shared" si="0"/>
        <v>0</v>
      </c>
      <c r="S72" s="207"/>
      <c r="T72" s="150"/>
      <c r="U72" s="145"/>
      <c r="V72" s="145"/>
      <c r="W72" s="145"/>
      <c r="X72" s="145"/>
      <c r="Y72" s="145"/>
      <c r="Z72" s="145"/>
      <c r="AA72" s="145"/>
      <c r="AB72" s="145"/>
      <c r="AC72" s="145"/>
    </row>
    <row r="73" spans="1:29" ht="15.75" x14ac:dyDescent="0.25">
      <c r="A73" s="192">
        <v>29</v>
      </c>
      <c r="B73" s="211">
        <f t="shared" si="6"/>
        <v>3785.5948485951562</v>
      </c>
      <c r="C73" s="212">
        <f t="shared" si="7"/>
        <v>0.18659951499385052</v>
      </c>
      <c r="D73" s="213">
        <f t="shared" si="1"/>
        <v>706.39016271107516</v>
      </c>
      <c r="E73" s="214"/>
      <c r="F73" s="215"/>
      <c r="G73" s="216" t="s">
        <v>4</v>
      </c>
      <c r="H73" s="216"/>
      <c r="I73" s="216"/>
      <c r="J73" s="217">
        <f t="shared" si="14"/>
        <v>30</v>
      </c>
      <c r="K73" s="200">
        <f t="shared" si="9"/>
        <v>30</v>
      </c>
      <c r="L73" s="218">
        <f t="shared" si="10"/>
        <v>2.6425819337965027E-2</v>
      </c>
      <c r="M73" s="219">
        <f t="shared" si="3"/>
        <v>10.003744555570668</v>
      </c>
      <c r="N73" s="220">
        <f t="shared" si="4"/>
        <v>645.75489099553829</v>
      </c>
      <c r="O73" s="316">
        <f t="shared" si="11"/>
        <v>615.75489099553829</v>
      </c>
      <c r="P73" s="221">
        <f t="shared" si="5"/>
        <v>9515.9696254476094</v>
      </c>
      <c r="Q73" s="209">
        <f>NPV($F$36,O44:O73)</f>
        <v>9515.9696254476094</v>
      </c>
      <c r="R73" s="222">
        <f t="shared" si="0"/>
        <v>0</v>
      </c>
      <c r="S73" s="223"/>
      <c r="T73" s="224"/>
      <c r="U73" s="225"/>
      <c r="V73" s="225"/>
      <c r="W73" s="225"/>
      <c r="X73" s="225"/>
      <c r="Y73" s="225"/>
      <c r="Z73" s="225"/>
      <c r="AA73" s="225"/>
      <c r="AB73" s="225"/>
      <c r="AC73" s="225"/>
    </row>
    <row r="74" spans="1:29" ht="15.75" x14ac:dyDescent="0.25">
      <c r="A74" s="192">
        <v>30</v>
      </c>
      <c r="B74" s="211">
        <f t="shared" si="6"/>
        <v>3766.6668743521805</v>
      </c>
      <c r="C74" s="212">
        <f t="shared" si="7"/>
        <v>0.18846551014378904</v>
      </c>
      <c r="D74" s="213">
        <f t="shared" si="1"/>
        <v>709.88679401649506</v>
      </c>
      <c r="E74" s="214"/>
      <c r="F74" s="215"/>
      <c r="G74" s="216" t="s">
        <v>4</v>
      </c>
      <c r="H74" s="216"/>
      <c r="I74" s="216"/>
      <c r="J74" s="217">
        <f t="shared" si="14"/>
        <v>30</v>
      </c>
      <c r="K74" s="200">
        <f t="shared" si="9"/>
        <v>30</v>
      </c>
      <c r="L74" s="218">
        <f t="shared" si="10"/>
        <v>2.6690077531344676E-2</v>
      </c>
      <c r="M74" s="219">
        <f t="shared" si="3"/>
        <v>10.053263091120742</v>
      </c>
      <c r="N74" s="220">
        <f t="shared" si="4"/>
        <v>648.95137770596625</v>
      </c>
      <c r="O74" s="316">
        <f t="shared" si="11"/>
        <v>618.95137770596625</v>
      </c>
      <c r="P74" s="221">
        <f t="shared" si="5"/>
        <v>10134.921003153575</v>
      </c>
      <c r="Q74" s="209">
        <f>NPV($F$36,O44:O74)</f>
        <v>10134.921003153575</v>
      </c>
      <c r="R74" s="222">
        <f t="shared" si="0"/>
        <v>0</v>
      </c>
      <c r="S74" s="223"/>
      <c r="T74" s="224"/>
      <c r="U74" s="225"/>
      <c r="V74" s="225"/>
      <c r="W74" s="225"/>
      <c r="X74" s="225"/>
      <c r="Y74" s="225"/>
      <c r="Z74" s="225"/>
      <c r="AA74" s="225"/>
      <c r="AB74" s="225"/>
      <c r="AC74" s="225"/>
    </row>
    <row r="75" spans="1:29" ht="15.75" x14ac:dyDescent="0.25">
      <c r="A75" s="226" t="s">
        <v>34</v>
      </c>
      <c r="B75" s="227">
        <f>SUM(B44:B74)</f>
        <v>121633.29200391678</v>
      </c>
      <c r="C75" s="228"/>
      <c r="D75" s="229">
        <f>SUM(D44:D74)</f>
        <v>19843.228332702227</v>
      </c>
      <c r="E75" s="230"/>
      <c r="F75" s="230"/>
      <c r="G75" s="231">
        <f>SUM(G44:G74)</f>
        <v>0</v>
      </c>
      <c r="H75" s="231"/>
      <c r="I75" s="231"/>
      <c r="J75" s="232">
        <f>SUM(J44:J74)</f>
        <v>1480</v>
      </c>
      <c r="K75" s="231">
        <f>SUM(K44:K74)</f>
        <v>8005</v>
      </c>
      <c r="L75" s="228"/>
      <c r="M75" s="231">
        <f>SUM(M44:M74)</f>
        <v>281.01550372157129</v>
      </c>
      <c r="N75" s="232">
        <f>SUM(N44:N74)</f>
        <v>18139.921003153569</v>
      </c>
      <c r="O75" s="233"/>
      <c r="P75" s="234"/>
      <c r="Q75" s="235"/>
      <c r="R75" s="236">
        <f>SUM(R44:R73)</f>
        <v>11</v>
      </c>
      <c r="S75" s="224"/>
      <c r="T75" s="224"/>
      <c r="U75" s="225"/>
      <c r="V75" s="225"/>
      <c r="W75" s="225"/>
      <c r="X75" s="225"/>
      <c r="Y75" s="225"/>
      <c r="Z75" s="225"/>
      <c r="AA75" s="225"/>
      <c r="AB75" s="225"/>
      <c r="AC75" s="225"/>
    </row>
    <row r="76" spans="1:29" ht="15.75" x14ac:dyDescent="0.25">
      <c r="A76" s="145"/>
      <c r="B76" s="145"/>
      <c r="C76" s="145"/>
      <c r="D76" s="145"/>
      <c r="E76" s="145"/>
      <c r="F76" s="145"/>
      <c r="G76" s="145"/>
      <c r="H76" s="145"/>
      <c r="I76" s="145"/>
      <c r="J76" s="145"/>
      <c r="K76" s="145"/>
      <c r="L76" s="145"/>
      <c r="M76" s="237"/>
      <c r="N76" s="145"/>
      <c r="O76" s="145"/>
      <c r="P76" s="145"/>
      <c r="Q76" s="145"/>
      <c r="R76" s="145"/>
      <c r="S76" s="145"/>
      <c r="T76" s="145"/>
      <c r="U76" s="145"/>
      <c r="V76" s="145"/>
      <c r="W76" s="145"/>
      <c r="X76" s="145"/>
      <c r="Y76" s="145"/>
      <c r="Z76" s="145"/>
    </row>
    <row r="77" spans="1:29" ht="16.5" thickBot="1" x14ac:dyDescent="0.3">
      <c r="A77" s="238" t="s">
        <v>35</v>
      </c>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row>
    <row r="78" spans="1:29" ht="15.75" x14ac:dyDescent="0.25">
      <c r="A78" s="404" t="s">
        <v>200</v>
      </c>
      <c r="B78" s="405"/>
      <c r="C78" s="405"/>
      <c r="D78" s="406"/>
      <c r="E78" s="239">
        <f>Q74</f>
        <v>10134.921003153575</v>
      </c>
      <c r="F78" s="240" t="s">
        <v>15</v>
      </c>
      <c r="G78" s="145"/>
      <c r="H78" s="145"/>
      <c r="I78" s="145"/>
      <c r="J78" s="145"/>
      <c r="K78" s="145"/>
      <c r="L78" s="145"/>
      <c r="M78" s="145"/>
      <c r="N78" s="145"/>
      <c r="O78" s="145"/>
      <c r="P78" s="145"/>
      <c r="Q78" s="145"/>
      <c r="R78" s="145"/>
      <c r="S78" s="145"/>
      <c r="T78" s="145"/>
      <c r="U78" s="145"/>
      <c r="V78" s="145"/>
      <c r="W78" s="145"/>
      <c r="X78" s="145"/>
      <c r="Y78" s="145"/>
      <c r="Z78" s="145"/>
    </row>
    <row r="79" spans="1:29" ht="15.75" x14ac:dyDescent="0.25">
      <c r="A79" s="407" t="s">
        <v>36</v>
      </c>
      <c r="B79" s="408"/>
      <c r="C79" s="408"/>
      <c r="D79" s="409"/>
      <c r="E79" s="241">
        <f>R75</f>
        <v>11</v>
      </c>
      <c r="F79" s="240" t="s">
        <v>37</v>
      </c>
      <c r="G79" s="145"/>
      <c r="H79" s="145"/>
      <c r="I79" s="145"/>
      <c r="J79" s="145"/>
      <c r="K79" s="145"/>
      <c r="L79" s="145"/>
      <c r="M79" s="145"/>
      <c r="N79" s="145"/>
      <c r="O79" s="145"/>
      <c r="P79" s="145"/>
      <c r="Q79" s="145"/>
      <c r="R79" s="145"/>
      <c r="S79" s="145"/>
      <c r="T79" s="145"/>
      <c r="U79" s="145"/>
      <c r="V79" s="145"/>
      <c r="W79" s="145"/>
      <c r="X79" s="145"/>
      <c r="Y79" s="145"/>
      <c r="Z79" s="145"/>
    </row>
    <row r="80" spans="1:29" ht="15.75" customHeight="1" x14ac:dyDescent="0.25">
      <c r="A80" s="410" t="s">
        <v>38</v>
      </c>
      <c r="B80" s="410"/>
      <c r="C80" s="410"/>
      <c r="D80" s="410"/>
      <c r="E80" s="242">
        <f>IRR(O44:O74,0.1)</f>
        <v>7.3284578157885472E-2</v>
      </c>
      <c r="F80" s="243"/>
      <c r="G80" s="145"/>
      <c r="H80" s="145"/>
      <c r="I80" s="145"/>
      <c r="J80" s="145"/>
      <c r="K80" s="145"/>
      <c r="L80" s="145"/>
      <c r="M80" s="145"/>
      <c r="N80" s="145"/>
      <c r="O80" s="145"/>
      <c r="P80" s="145"/>
      <c r="Q80" s="145"/>
      <c r="R80" s="145"/>
      <c r="S80" s="145"/>
      <c r="T80" s="145"/>
      <c r="U80" s="145"/>
      <c r="V80" s="145"/>
      <c r="W80" s="145"/>
      <c r="X80" s="145"/>
      <c r="Y80" s="145"/>
      <c r="Z80" s="145"/>
    </row>
    <row r="81" spans="1:26" ht="15.75" customHeight="1" x14ac:dyDescent="0.25">
      <c r="A81" s="238" t="s">
        <v>39</v>
      </c>
      <c r="B81" s="244"/>
      <c r="C81" s="244"/>
      <c r="D81" s="245"/>
      <c r="E81" s="246"/>
      <c r="F81" s="243"/>
      <c r="G81" s="145"/>
      <c r="H81" s="145"/>
      <c r="I81" s="145"/>
      <c r="J81" s="145"/>
      <c r="K81" s="145"/>
      <c r="L81" s="145"/>
      <c r="M81" s="145"/>
      <c r="N81" s="145"/>
      <c r="O81" s="145"/>
      <c r="P81" s="145"/>
      <c r="Q81" s="145"/>
      <c r="R81" s="145"/>
      <c r="S81" s="145"/>
      <c r="T81" s="145"/>
      <c r="U81" s="145"/>
      <c r="V81" s="145"/>
      <c r="W81" s="145"/>
      <c r="X81" s="145"/>
      <c r="Y81" s="145"/>
      <c r="Z81" s="145"/>
    </row>
    <row r="82" spans="1:26" ht="15.75" customHeight="1" x14ac:dyDescent="0.25">
      <c r="A82" s="411" t="s">
        <v>40</v>
      </c>
      <c r="B82" s="395"/>
      <c r="C82" s="395"/>
      <c r="D82" s="396"/>
      <c r="E82" s="247">
        <f>K75*100/B75</f>
        <v>6.5812573746192999</v>
      </c>
      <c r="F82" s="248" t="s">
        <v>3</v>
      </c>
      <c r="G82" s="145"/>
      <c r="H82" s="145"/>
      <c r="I82" s="145"/>
      <c r="J82" s="145"/>
      <c r="K82" s="145"/>
      <c r="L82" s="145"/>
      <c r="M82" s="145"/>
      <c r="N82" s="145"/>
      <c r="O82" s="145"/>
      <c r="P82" s="145"/>
      <c r="Q82" s="145"/>
      <c r="R82" s="145"/>
      <c r="S82" s="145"/>
      <c r="T82" s="145"/>
      <c r="U82" s="145"/>
      <c r="V82" s="145"/>
      <c r="W82" s="145"/>
      <c r="X82" s="145"/>
      <c r="Y82" s="145"/>
      <c r="Z82" s="145"/>
    </row>
    <row r="83" spans="1:26" ht="15.75" customHeight="1" x14ac:dyDescent="0.25">
      <c r="A83" s="397" t="s">
        <v>41</v>
      </c>
      <c r="B83" s="395"/>
      <c r="C83" s="395"/>
      <c r="D83" s="396"/>
      <c r="E83" s="249">
        <f>AVERAGE(C44:C74)*100</f>
        <v>16.375005081742302</v>
      </c>
      <c r="F83" s="250" t="s">
        <v>42</v>
      </c>
      <c r="G83" s="145"/>
      <c r="H83" s="145"/>
      <c r="I83" s="145"/>
      <c r="J83" s="145"/>
      <c r="K83" s="145"/>
      <c r="L83" s="145"/>
      <c r="M83" s="145"/>
      <c r="N83" s="145"/>
      <c r="O83" s="145"/>
      <c r="P83" s="145"/>
      <c r="Q83" s="145"/>
      <c r="R83" s="145"/>
      <c r="S83" s="145"/>
      <c r="T83" s="145"/>
      <c r="U83" s="145"/>
      <c r="V83" s="145"/>
      <c r="W83" s="145"/>
      <c r="X83" s="145"/>
      <c r="Y83" s="145"/>
      <c r="Z83" s="145"/>
    </row>
    <row r="84" spans="1:26" ht="15.75" x14ac:dyDescent="0.25">
      <c r="A84" s="145"/>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row>
    <row r="85" spans="1:26" ht="15.75" x14ac:dyDescent="0.25">
      <c r="A85" s="157" t="s">
        <v>4</v>
      </c>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row>
    <row r="86" spans="1:26" ht="15.75" x14ac:dyDescent="0.25">
      <c r="A86" s="251" t="s">
        <v>91</v>
      </c>
      <c r="B86" s="252"/>
      <c r="C86" s="252"/>
      <c r="D86" s="252"/>
      <c r="E86" s="252"/>
      <c r="F86" s="252"/>
      <c r="G86" s="252"/>
      <c r="H86" s="252"/>
      <c r="I86" s="252"/>
      <c r="J86" s="145"/>
      <c r="K86" s="145"/>
      <c r="L86" s="145"/>
      <c r="M86" s="145"/>
      <c r="N86" s="145"/>
      <c r="O86" s="145"/>
      <c r="P86" s="145"/>
      <c r="Q86" s="145"/>
      <c r="R86" s="145"/>
      <c r="S86" s="145"/>
      <c r="T86" s="145"/>
      <c r="U86" s="145"/>
      <c r="V86" s="145"/>
      <c r="W86" s="145"/>
      <c r="X86" s="145"/>
      <c r="Y86" s="145"/>
      <c r="Z86" s="145"/>
    </row>
    <row r="87" spans="1:26" ht="15.75" x14ac:dyDescent="0.25">
      <c r="A87" s="398" t="s">
        <v>92</v>
      </c>
      <c r="B87" s="398"/>
      <c r="C87" s="398"/>
      <c r="D87" s="253">
        <v>84</v>
      </c>
      <c r="E87" s="252" t="s">
        <v>93</v>
      </c>
      <c r="F87" s="252" t="s">
        <v>4</v>
      </c>
      <c r="G87" s="252" t="s">
        <v>6</v>
      </c>
      <c r="H87" s="100">
        <v>2024</v>
      </c>
      <c r="I87" s="10" t="s">
        <v>274</v>
      </c>
      <c r="J87" s="145"/>
      <c r="K87" s="145"/>
      <c r="L87" s="145"/>
      <c r="M87" s="145"/>
      <c r="N87" s="145"/>
      <c r="O87" s="145"/>
      <c r="P87" s="145"/>
      <c r="Q87" s="145"/>
      <c r="R87" s="145"/>
      <c r="S87" s="145"/>
      <c r="T87" s="145"/>
      <c r="U87" s="145"/>
      <c r="V87" s="145"/>
      <c r="W87" s="145"/>
      <c r="X87" s="145"/>
      <c r="Y87" s="145"/>
      <c r="Z87" s="145"/>
    </row>
    <row r="88" spans="1:26" ht="15.75" x14ac:dyDescent="0.25">
      <c r="A88" s="398" t="s">
        <v>95</v>
      </c>
      <c r="B88" s="398"/>
      <c r="C88" s="398"/>
      <c r="D88" s="253">
        <v>106</v>
      </c>
      <c r="E88" s="252" t="s">
        <v>93</v>
      </c>
      <c r="F88" s="252"/>
      <c r="G88" s="252" t="s">
        <v>6</v>
      </c>
      <c r="H88" s="100">
        <v>2024</v>
      </c>
      <c r="I88" s="10" t="s">
        <v>274</v>
      </c>
      <c r="J88" s="145"/>
      <c r="K88" s="145"/>
      <c r="L88" s="145"/>
      <c r="M88" s="145"/>
      <c r="N88" s="145"/>
      <c r="O88" s="145"/>
      <c r="P88" s="145"/>
      <c r="Q88" s="145"/>
      <c r="R88" s="145"/>
      <c r="S88" s="145"/>
      <c r="T88" s="145"/>
      <c r="U88" s="145"/>
      <c r="V88" s="145"/>
      <c r="W88" s="145"/>
      <c r="X88" s="145"/>
      <c r="Y88" s="145"/>
      <c r="Z88" s="145"/>
    </row>
    <row r="89" spans="1:26" ht="15.75" x14ac:dyDescent="0.25">
      <c r="A89" s="398" t="s">
        <v>96</v>
      </c>
      <c r="B89" s="398"/>
      <c r="C89" s="398"/>
      <c r="D89" s="254">
        <v>261.72000000000003</v>
      </c>
      <c r="E89" s="252" t="s">
        <v>93</v>
      </c>
      <c r="F89" s="252"/>
      <c r="G89" s="252" t="s">
        <v>6</v>
      </c>
      <c r="H89" s="252">
        <v>2019</v>
      </c>
      <c r="I89" s="10" t="s">
        <v>94</v>
      </c>
      <c r="J89" s="145"/>
      <c r="K89" s="145"/>
      <c r="L89" s="145"/>
      <c r="M89" s="145"/>
      <c r="N89" s="145"/>
      <c r="O89" s="145"/>
      <c r="P89" s="145"/>
      <c r="Q89" s="145"/>
      <c r="R89" s="145"/>
      <c r="S89" s="145"/>
      <c r="T89" s="145"/>
      <c r="U89" s="145"/>
      <c r="V89" s="145"/>
      <c r="W89" s="145"/>
      <c r="X89" s="145"/>
      <c r="Y89" s="145"/>
      <c r="Z89" s="145"/>
    </row>
    <row r="90" spans="1:26" ht="15.75" x14ac:dyDescent="0.25">
      <c r="A90" s="398" t="s">
        <v>97</v>
      </c>
      <c r="B90" s="398"/>
      <c r="C90" s="398"/>
      <c r="D90" s="254">
        <f>(F21*D87)/1000</f>
        <v>365.904</v>
      </c>
      <c r="E90" s="252" t="s">
        <v>98</v>
      </c>
      <c r="F90" s="252" t="s">
        <v>4</v>
      </c>
      <c r="G90" s="252"/>
      <c r="H90" s="252"/>
      <c r="I90" s="252"/>
      <c r="J90" s="145"/>
      <c r="K90" s="145"/>
      <c r="L90" s="145"/>
      <c r="M90" s="145"/>
      <c r="N90" s="145"/>
      <c r="O90" s="145"/>
      <c r="P90" s="145"/>
      <c r="Q90" s="145"/>
      <c r="R90" s="145"/>
      <c r="S90" s="145"/>
      <c r="T90" s="145"/>
      <c r="U90" s="145"/>
      <c r="V90" s="145"/>
      <c r="W90" s="145"/>
      <c r="X90" s="145"/>
      <c r="Y90" s="145"/>
      <c r="Z90" s="145"/>
    </row>
    <row r="91" spans="1:26" ht="15.75" x14ac:dyDescent="0.25">
      <c r="A91" s="398" t="s">
        <v>120</v>
      </c>
      <c r="B91" s="398"/>
      <c r="C91" s="398"/>
      <c r="D91" s="254">
        <f>(F21*D87)/1000-0</f>
        <v>365.904</v>
      </c>
      <c r="E91" s="252" t="s">
        <v>98</v>
      </c>
      <c r="F91" s="252"/>
      <c r="G91" s="252" t="s">
        <v>275</v>
      </c>
      <c r="H91" s="252"/>
      <c r="I91" s="10" t="s">
        <v>276</v>
      </c>
      <c r="J91" s="145"/>
      <c r="K91" s="145"/>
      <c r="L91" s="145"/>
      <c r="M91" s="145"/>
      <c r="N91" s="145"/>
      <c r="O91" s="145"/>
      <c r="P91" s="145"/>
      <c r="Q91" s="145"/>
      <c r="R91" s="145"/>
      <c r="S91" s="145"/>
      <c r="T91" s="145"/>
      <c r="U91" s="145"/>
      <c r="V91" s="145"/>
      <c r="W91" s="145"/>
      <c r="X91" s="145"/>
      <c r="Y91" s="145"/>
      <c r="Z91" s="145"/>
    </row>
    <row r="92" spans="1:26" ht="15.75" x14ac:dyDescent="0.25">
      <c r="A92" s="255" t="s">
        <v>4</v>
      </c>
      <c r="B92" s="225"/>
      <c r="C92" s="225"/>
      <c r="D92" s="225"/>
      <c r="E92" s="145"/>
      <c r="F92" s="145"/>
      <c r="G92" s="145"/>
      <c r="H92" s="145"/>
      <c r="I92" s="145"/>
      <c r="J92" s="145"/>
      <c r="K92" s="145"/>
      <c r="L92" s="145"/>
      <c r="M92" s="145"/>
      <c r="N92" s="145"/>
      <c r="O92" s="145"/>
      <c r="P92" s="145"/>
      <c r="Q92" s="145"/>
      <c r="R92" s="145"/>
      <c r="S92" s="145"/>
      <c r="T92" s="145"/>
      <c r="U92" s="145"/>
      <c r="V92" s="145"/>
      <c r="W92" s="145"/>
      <c r="X92" s="145"/>
      <c r="Y92" s="145"/>
      <c r="Z92" s="145"/>
    </row>
    <row r="93" spans="1:26" ht="15.75" x14ac:dyDescent="0.25">
      <c r="A93" s="238"/>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row>
    <row r="94" spans="1:26" ht="15.75" x14ac:dyDescent="0.25">
      <c r="A94" s="148" t="s">
        <v>201</v>
      </c>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row>
    <row r="95" spans="1:26" ht="15.75" x14ac:dyDescent="0.25">
      <c r="A95" s="399" t="s">
        <v>11</v>
      </c>
      <c r="B95" s="395"/>
      <c r="C95" s="396"/>
      <c r="D95" s="256">
        <v>4950</v>
      </c>
      <c r="E95" s="155" t="s">
        <v>202</v>
      </c>
      <c r="F95" s="145" t="s">
        <v>203</v>
      </c>
      <c r="G95" s="145"/>
      <c r="H95" s="145"/>
      <c r="I95" s="145"/>
      <c r="J95" s="145"/>
      <c r="K95" s="145"/>
      <c r="L95" s="145"/>
      <c r="M95" s="145"/>
      <c r="N95" s="145"/>
      <c r="O95" s="145"/>
      <c r="P95" s="145"/>
      <c r="Q95" s="145"/>
      <c r="R95" s="145"/>
      <c r="S95" s="145"/>
      <c r="T95" s="145"/>
      <c r="U95" s="145"/>
      <c r="V95" s="145"/>
      <c r="W95" s="145"/>
      <c r="X95" s="145"/>
      <c r="Y95" s="145"/>
      <c r="Z95" s="145"/>
    </row>
    <row r="96" spans="1:26" ht="15.75" x14ac:dyDescent="0.25">
      <c r="A96" s="399" t="s">
        <v>204</v>
      </c>
      <c r="B96" s="395"/>
      <c r="C96" s="396"/>
      <c r="D96" s="161">
        <v>0.13</v>
      </c>
      <c r="E96" s="155" t="s">
        <v>8</v>
      </c>
      <c r="F96" s="145"/>
      <c r="G96" s="145"/>
      <c r="H96" s="145"/>
      <c r="I96" s="145"/>
      <c r="J96" s="145"/>
      <c r="K96" s="145"/>
      <c r="L96" s="145"/>
      <c r="M96" s="145"/>
      <c r="N96" s="145"/>
      <c r="O96" s="145"/>
      <c r="P96" s="145"/>
      <c r="Q96" s="145"/>
      <c r="R96" s="145"/>
      <c r="S96" s="145"/>
      <c r="T96" s="145"/>
      <c r="U96" s="145"/>
      <c r="V96" s="145"/>
      <c r="W96" s="145"/>
      <c r="X96" s="145"/>
      <c r="Y96" s="145"/>
      <c r="Z96" s="145"/>
    </row>
    <row r="97" spans="1:26" ht="15.75" x14ac:dyDescent="0.25">
      <c r="A97" s="399" t="s">
        <v>205</v>
      </c>
      <c r="B97" s="395"/>
      <c r="C97" s="396"/>
      <c r="D97" s="161">
        <v>0.4</v>
      </c>
      <c r="E97" s="145" t="s">
        <v>8</v>
      </c>
      <c r="F97" s="145" t="s">
        <v>206</v>
      </c>
      <c r="G97" s="145"/>
      <c r="H97" s="145"/>
      <c r="I97" s="145"/>
      <c r="J97" s="145"/>
      <c r="K97" s="145"/>
      <c r="L97" s="145"/>
      <c r="M97" s="145"/>
      <c r="N97" s="145"/>
      <c r="O97" s="145"/>
      <c r="P97" s="145"/>
      <c r="Q97" s="145"/>
      <c r="R97" s="145"/>
      <c r="S97" s="145"/>
      <c r="T97" s="145"/>
      <c r="U97" s="145"/>
      <c r="V97" s="145"/>
      <c r="W97" s="145"/>
      <c r="X97" s="145"/>
      <c r="Y97" s="145"/>
      <c r="Z97" s="145"/>
    </row>
    <row r="98" spans="1:26" ht="15.75" x14ac:dyDescent="0.25">
      <c r="A98" s="400" t="s">
        <v>207</v>
      </c>
      <c r="B98" s="395"/>
      <c r="C98" s="396"/>
      <c r="D98" s="192">
        <f>D95/250*1.7</f>
        <v>33.660000000000004</v>
      </c>
      <c r="E98" s="145" t="s">
        <v>14</v>
      </c>
      <c r="F98" s="145"/>
      <c r="G98" s="145"/>
      <c r="H98" s="145"/>
      <c r="I98" s="145"/>
      <c r="J98" s="145"/>
      <c r="K98" s="145"/>
      <c r="L98" s="145"/>
      <c r="M98" s="145"/>
      <c r="N98" s="145"/>
      <c r="O98" s="145"/>
      <c r="P98" s="145"/>
      <c r="Q98" s="145"/>
      <c r="R98" s="145"/>
      <c r="S98" s="145"/>
      <c r="T98" s="145"/>
      <c r="U98" s="145"/>
      <c r="V98" s="145"/>
      <c r="W98" s="145"/>
      <c r="X98" s="145"/>
      <c r="Y98" s="145"/>
      <c r="Z98" s="145"/>
    </row>
    <row r="99" spans="1:26" ht="15.75" x14ac:dyDescent="0.25">
      <c r="A99" s="174"/>
      <c r="B99" s="175"/>
      <c r="C99" s="175"/>
      <c r="D99" s="176"/>
      <c r="E99" s="145"/>
      <c r="F99" s="145"/>
      <c r="G99" s="145"/>
      <c r="H99" s="145"/>
      <c r="I99" s="145"/>
      <c r="J99" s="145"/>
      <c r="K99" s="145"/>
      <c r="L99" s="145"/>
      <c r="M99" s="145"/>
      <c r="N99" s="145"/>
      <c r="O99" s="145"/>
      <c r="P99" s="145"/>
      <c r="Q99" s="145"/>
      <c r="R99" s="145"/>
      <c r="S99" s="145"/>
      <c r="T99" s="145"/>
      <c r="U99" s="145"/>
      <c r="V99" s="145"/>
      <c r="W99" s="145"/>
      <c r="X99" s="145"/>
      <c r="Y99" s="145"/>
      <c r="Z99" s="145"/>
    </row>
    <row r="100" spans="1:26" ht="15.75" x14ac:dyDescent="0.25">
      <c r="A100" s="149"/>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row>
    <row r="101" spans="1:26" ht="105" x14ac:dyDescent="0.25">
      <c r="A101" s="257" t="s">
        <v>208</v>
      </c>
      <c r="B101" s="258" t="s">
        <v>209</v>
      </c>
      <c r="C101" s="258" t="s">
        <v>210</v>
      </c>
      <c r="D101" s="258" t="s">
        <v>211</v>
      </c>
      <c r="E101" s="258" t="s">
        <v>212</v>
      </c>
      <c r="F101" s="258" t="s">
        <v>213</v>
      </c>
      <c r="G101" s="259" t="s">
        <v>214</v>
      </c>
      <c r="H101" s="258" t="s">
        <v>215</v>
      </c>
      <c r="I101" s="258" t="s">
        <v>216</v>
      </c>
      <c r="J101" s="258" t="s">
        <v>217</v>
      </c>
      <c r="K101" s="258" t="s">
        <v>218</v>
      </c>
      <c r="L101" s="258" t="s">
        <v>219</v>
      </c>
      <c r="M101" s="150"/>
      <c r="N101" s="145"/>
      <c r="O101" s="145"/>
      <c r="P101" s="145"/>
      <c r="Q101" s="145"/>
      <c r="R101" s="145"/>
      <c r="S101" s="145"/>
      <c r="T101" s="145"/>
      <c r="U101" s="145"/>
      <c r="V101" s="145"/>
      <c r="W101" s="145"/>
      <c r="X101" s="145"/>
      <c r="Y101" s="145"/>
      <c r="Z101" s="145"/>
    </row>
    <row r="102" spans="1:26" ht="15.75" x14ac:dyDescent="0.25">
      <c r="A102" s="260" t="s">
        <v>62</v>
      </c>
      <c r="B102" s="192">
        <v>31</v>
      </c>
      <c r="C102" s="261">
        <f>0.09*F16</f>
        <v>1107</v>
      </c>
      <c r="D102" s="262">
        <v>0.32</v>
      </c>
      <c r="E102" s="151">
        <f>($F$14*10)</f>
        <v>141.22514999999999</v>
      </c>
      <c r="F102" s="151">
        <f>$F$24*10</f>
        <v>20</v>
      </c>
      <c r="G102" s="263">
        <f t="shared" ref="G102:G113" si="15">D102*B102*$D$98*$D$96</f>
        <v>43.407936000000007</v>
      </c>
      <c r="H102" s="264">
        <f t="shared" ref="H102:H113" si="16">IF(C102*$D$97-G102&gt;0, G102,$D$97*C102)</f>
        <v>43.407936000000007</v>
      </c>
      <c r="I102" s="264">
        <f t="shared" ref="I102:I113" si="17">G102-H102</f>
        <v>0</v>
      </c>
      <c r="J102" s="264">
        <f t="shared" ref="J102:J113" si="18">C102-H102</f>
        <v>1063.5920639999999</v>
      </c>
      <c r="K102" s="208">
        <f t="shared" ref="K102:K113" si="19">G102*E102/1000</f>
        <v>6.1302922727904008</v>
      </c>
      <c r="L102" s="208">
        <f t="shared" ref="L102:L113" si="20">I102*F102/1000</f>
        <v>0</v>
      </c>
      <c r="M102" s="150"/>
      <c r="N102" s="145"/>
      <c r="O102" s="145"/>
      <c r="P102" s="145"/>
      <c r="Q102" s="145"/>
      <c r="R102" s="145"/>
      <c r="S102" s="145"/>
      <c r="T102" s="145"/>
      <c r="U102" s="145"/>
      <c r="V102" s="145"/>
      <c r="W102" s="145"/>
      <c r="X102" s="145"/>
      <c r="Y102" s="145"/>
      <c r="Z102" s="145"/>
    </row>
    <row r="103" spans="1:26" ht="15.75" x14ac:dyDescent="0.25">
      <c r="A103" s="260" t="s">
        <v>63</v>
      </c>
      <c r="B103" s="192">
        <v>28</v>
      </c>
      <c r="C103" s="261">
        <f>0.09*F16</f>
        <v>1107</v>
      </c>
      <c r="D103" s="262">
        <v>1.1000000000000001</v>
      </c>
      <c r="E103" s="151">
        <f t="shared" ref="E103:E113" si="21">($F$14*10)</f>
        <v>141.22514999999999</v>
      </c>
      <c r="F103" s="151">
        <f t="shared" ref="F103:F113" si="22">$F$24*10</f>
        <v>20</v>
      </c>
      <c r="G103" s="263">
        <f t="shared" si="15"/>
        <v>134.77464000000003</v>
      </c>
      <c r="H103" s="264">
        <f t="shared" si="16"/>
        <v>134.77464000000003</v>
      </c>
      <c r="I103" s="264">
        <f t="shared" si="17"/>
        <v>0</v>
      </c>
      <c r="J103" s="264">
        <f t="shared" si="18"/>
        <v>972.22535999999991</v>
      </c>
      <c r="K103" s="208">
        <f t="shared" si="19"/>
        <v>19.033568750196</v>
      </c>
      <c r="L103" s="208">
        <f t="shared" si="20"/>
        <v>0</v>
      </c>
      <c r="M103" s="150"/>
      <c r="N103" s="145"/>
      <c r="O103" s="145"/>
      <c r="P103" s="145"/>
      <c r="Q103" s="145"/>
      <c r="R103" s="145"/>
      <c r="S103" s="145"/>
      <c r="T103" s="145"/>
      <c r="U103" s="145"/>
      <c r="V103" s="145"/>
      <c r="W103" s="145"/>
      <c r="X103" s="145"/>
      <c r="Y103" s="145"/>
      <c r="Z103" s="145"/>
    </row>
    <row r="104" spans="1:26" ht="15.75" x14ac:dyDescent="0.25">
      <c r="A104" s="260" t="s">
        <v>64</v>
      </c>
      <c r="B104" s="192">
        <v>31</v>
      </c>
      <c r="C104" s="261">
        <f>0.084*F16</f>
        <v>1033.2</v>
      </c>
      <c r="D104" s="262">
        <v>2.44</v>
      </c>
      <c r="E104" s="151">
        <f t="shared" si="21"/>
        <v>141.22514999999999</v>
      </c>
      <c r="F104" s="151">
        <f t="shared" si="22"/>
        <v>20</v>
      </c>
      <c r="G104" s="263">
        <f t="shared" si="15"/>
        <v>330.98551200000003</v>
      </c>
      <c r="H104" s="264">
        <f t="shared" si="16"/>
        <v>330.98551200000003</v>
      </c>
      <c r="I104" s="264">
        <f t="shared" si="17"/>
        <v>0</v>
      </c>
      <c r="J104" s="264">
        <f t="shared" si="18"/>
        <v>702.21448800000007</v>
      </c>
      <c r="K104" s="208">
        <f t="shared" si="19"/>
        <v>46.743478580026803</v>
      </c>
      <c r="L104" s="208">
        <f t="shared" si="20"/>
        <v>0</v>
      </c>
      <c r="M104" s="150"/>
      <c r="N104" s="145"/>
      <c r="O104" s="145"/>
      <c r="P104" s="145"/>
      <c r="Q104" s="145"/>
      <c r="R104" s="145"/>
      <c r="S104" s="145"/>
      <c r="T104" s="145"/>
      <c r="U104" s="145"/>
      <c r="V104" s="145"/>
      <c r="W104" s="145"/>
      <c r="X104" s="145"/>
      <c r="Y104" s="145"/>
      <c r="Z104" s="145"/>
    </row>
    <row r="105" spans="1:26" ht="15.75" x14ac:dyDescent="0.25">
      <c r="A105" s="260" t="s">
        <v>65</v>
      </c>
      <c r="B105" s="192">
        <v>30</v>
      </c>
      <c r="C105" s="261">
        <f>0.084*F16</f>
        <v>1033.2</v>
      </c>
      <c r="D105" s="262">
        <v>3.96</v>
      </c>
      <c r="E105" s="151">
        <f t="shared" si="21"/>
        <v>141.22514999999999</v>
      </c>
      <c r="F105" s="151">
        <f t="shared" si="22"/>
        <v>20</v>
      </c>
      <c r="G105" s="263">
        <f t="shared" si="15"/>
        <v>519.84504000000004</v>
      </c>
      <c r="H105" s="264">
        <f t="shared" si="16"/>
        <v>413.28000000000003</v>
      </c>
      <c r="I105" s="264">
        <f t="shared" si="17"/>
        <v>106.56504000000001</v>
      </c>
      <c r="J105" s="264">
        <f t="shared" si="18"/>
        <v>619.92000000000007</v>
      </c>
      <c r="K105" s="208">
        <f t="shared" si="19"/>
        <v>73.415193750755989</v>
      </c>
      <c r="L105" s="208">
        <f t="shared" si="20"/>
        <v>2.1313008</v>
      </c>
      <c r="M105" s="150"/>
      <c r="N105" s="145"/>
      <c r="O105" s="145"/>
      <c r="P105" s="145"/>
      <c r="Q105" s="145"/>
      <c r="R105" s="145"/>
      <c r="S105" s="145"/>
      <c r="T105" s="145"/>
      <c r="U105" s="145"/>
      <c r="V105" s="145"/>
      <c r="W105" s="145"/>
      <c r="X105" s="145"/>
      <c r="Y105" s="145"/>
      <c r="Z105" s="145"/>
    </row>
    <row r="106" spans="1:26" ht="15.75" x14ac:dyDescent="0.25">
      <c r="A106" s="260" t="s">
        <v>66</v>
      </c>
      <c r="B106" s="192">
        <v>31</v>
      </c>
      <c r="C106" s="261">
        <f>0.079*F16</f>
        <v>971.7</v>
      </c>
      <c r="D106" s="262">
        <v>5.41</v>
      </c>
      <c r="E106" s="151">
        <f t="shared" si="21"/>
        <v>141.22514999999999</v>
      </c>
      <c r="F106" s="151">
        <f t="shared" si="22"/>
        <v>20</v>
      </c>
      <c r="G106" s="263">
        <f t="shared" si="15"/>
        <v>733.86541800000009</v>
      </c>
      <c r="H106" s="264">
        <f t="shared" si="16"/>
        <v>388.68000000000006</v>
      </c>
      <c r="I106" s="264">
        <f t="shared" si="17"/>
        <v>345.18541800000003</v>
      </c>
      <c r="J106" s="264">
        <f t="shared" si="18"/>
        <v>583.02</v>
      </c>
      <c r="K106" s="208">
        <f t="shared" si="19"/>
        <v>103.6402537368627</v>
      </c>
      <c r="L106" s="208">
        <f t="shared" si="20"/>
        <v>6.9037083600000004</v>
      </c>
      <c r="M106" s="150"/>
      <c r="N106" s="145"/>
      <c r="O106" s="145"/>
      <c r="P106" s="145"/>
      <c r="Q106" s="145"/>
      <c r="R106" s="145"/>
      <c r="S106" s="145"/>
      <c r="T106" s="145"/>
      <c r="U106" s="145"/>
      <c r="V106" s="145"/>
      <c r="W106" s="145"/>
      <c r="X106" s="145"/>
      <c r="Y106" s="145"/>
      <c r="Z106" s="145"/>
    </row>
    <row r="107" spans="1:26" ht="15.75" x14ac:dyDescent="0.25">
      <c r="A107" s="260" t="s">
        <v>67</v>
      </c>
      <c r="B107" s="192">
        <v>30</v>
      </c>
      <c r="C107" s="261">
        <f>0.07*F16</f>
        <v>861.00000000000011</v>
      </c>
      <c r="D107" s="262">
        <v>5.63</v>
      </c>
      <c r="E107" s="151">
        <f t="shared" si="21"/>
        <v>141.22514999999999</v>
      </c>
      <c r="F107" s="151">
        <f t="shared" si="22"/>
        <v>20</v>
      </c>
      <c r="G107" s="263">
        <f t="shared" si="15"/>
        <v>739.07262000000014</v>
      </c>
      <c r="H107" s="264">
        <f t="shared" si="16"/>
        <v>344.40000000000009</v>
      </c>
      <c r="I107" s="264">
        <f t="shared" si="17"/>
        <v>394.67262000000005</v>
      </c>
      <c r="J107" s="264">
        <f t="shared" si="18"/>
        <v>516.6</v>
      </c>
      <c r="K107" s="208">
        <f t="shared" si="19"/>
        <v>104.37564162039301</v>
      </c>
      <c r="L107" s="208">
        <f t="shared" si="20"/>
        <v>7.893452400000001</v>
      </c>
      <c r="M107" s="150"/>
      <c r="N107" s="145"/>
      <c r="O107" s="145"/>
      <c r="P107" s="145"/>
      <c r="Q107" s="145"/>
      <c r="R107" s="145"/>
      <c r="S107" s="145"/>
      <c r="T107" s="145"/>
      <c r="U107" s="145"/>
      <c r="V107" s="145"/>
      <c r="W107" s="145"/>
      <c r="X107" s="145"/>
      <c r="Y107" s="145"/>
      <c r="Z107" s="145"/>
    </row>
    <row r="108" spans="1:26" ht="15.75" x14ac:dyDescent="0.25">
      <c r="A108" s="260" t="s">
        <v>68</v>
      </c>
      <c r="B108" s="192">
        <v>31</v>
      </c>
      <c r="C108" s="261">
        <f>0.07*F16</f>
        <v>861.00000000000011</v>
      </c>
      <c r="D108" s="262">
        <v>5.6</v>
      </c>
      <c r="E108" s="151">
        <f t="shared" si="21"/>
        <v>141.22514999999999</v>
      </c>
      <c r="F108" s="151">
        <f t="shared" si="22"/>
        <v>20</v>
      </c>
      <c r="G108" s="263">
        <f t="shared" si="15"/>
        <v>759.63888000000009</v>
      </c>
      <c r="H108" s="264">
        <f t="shared" si="16"/>
        <v>344.40000000000009</v>
      </c>
      <c r="I108" s="264">
        <f t="shared" si="17"/>
        <v>415.23887999999999</v>
      </c>
      <c r="J108" s="264">
        <f t="shared" si="18"/>
        <v>516.6</v>
      </c>
      <c r="K108" s="208">
        <f t="shared" si="19"/>
        <v>107.280114773832</v>
      </c>
      <c r="L108" s="208">
        <f t="shared" si="20"/>
        <v>8.3047775999999995</v>
      </c>
      <c r="M108" s="150"/>
      <c r="N108" s="145"/>
      <c r="O108" s="145"/>
      <c r="P108" s="145"/>
      <c r="Q108" s="145"/>
      <c r="R108" s="145"/>
      <c r="S108" s="145"/>
      <c r="T108" s="145"/>
      <c r="U108" s="145"/>
      <c r="V108" s="145"/>
      <c r="W108" s="145"/>
      <c r="X108" s="145"/>
      <c r="Y108" s="145"/>
      <c r="Z108" s="145"/>
    </row>
    <row r="109" spans="1:26" ht="15.75" x14ac:dyDescent="0.25">
      <c r="A109" s="260" t="s">
        <v>69</v>
      </c>
      <c r="B109" s="192">
        <v>31</v>
      </c>
      <c r="C109" s="261">
        <f>0.079*F16</f>
        <v>971.7</v>
      </c>
      <c r="D109" s="262">
        <v>4.09</v>
      </c>
      <c r="E109" s="151">
        <f t="shared" si="21"/>
        <v>141.22514999999999</v>
      </c>
      <c r="F109" s="151">
        <f t="shared" si="22"/>
        <v>20</v>
      </c>
      <c r="G109" s="263">
        <f t="shared" si="15"/>
        <v>554.807682</v>
      </c>
      <c r="H109" s="264">
        <f t="shared" si="16"/>
        <v>388.68000000000006</v>
      </c>
      <c r="I109" s="264">
        <f t="shared" si="17"/>
        <v>166.12768199999994</v>
      </c>
      <c r="J109" s="264">
        <f t="shared" si="18"/>
        <v>583.02</v>
      </c>
      <c r="K109" s="208">
        <f t="shared" si="19"/>
        <v>78.352798111602283</v>
      </c>
      <c r="L109" s="208">
        <f t="shared" si="20"/>
        <v>3.3225536399999989</v>
      </c>
      <c r="M109" s="150"/>
      <c r="N109" s="145"/>
      <c r="O109" s="145"/>
      <c r="P109" s="145"/>
      <c r="Q109" s="145"/>
      <c r="R109" s="145"/>
      <c r="S109" s="145"/>
      <c r="T109" s="145"/>
      <c r="U109" s="145"/>
      <c r="V109" s="145"/>
      <c r="W109" s="145"/>
      <c r="X109" s="145"/>
      <c r="Y109" s="145"/>
      <c r="Z109" s="145"/>
    </row>
    <row r="110" spans="1:26" ht="15.75" x14ac:dyDescent="0.25">
      <c r="A110" s="260" t="s">
        <v>70</v>
      </c>
      <c r="B110" s="192">
        <v>30</v>
      </c>
      <c r="C110" s="261">
        <f>0.084*F16</f>
        <v>1033.2</v>
      </c>
      <c r="D110" s="262">
        <v>2.54</v>
      </c>
      <c r="E110" s="151">
        <f t="shared" si="21"/>
        <v>141.22514999999999</v>
      </c>
      <c r="F110" s="151">
        <f t="shared" si="22"/>
        <v>20</v>
      </c>
      <c r="G110" s="263">
        <f t="shared" si="15"/>
        <v>333.43596000000002</v>
      </c>
      <c r="H110" s="264">
        <f t="shared" si="16"/>
        <v>333.43596000000002</v>
      </c>
      <c r="I110" s="264">
        <f t="shared" si="17"/>
        <v>0</v>
      </c>
      <c r="J110" s="264">
        <f t="shared" si="18"/>
        <v>699.76404000000002</v>
      </c>
      <c r="K110" s="208">
        <f t="shared" si="19"/>
        <v>47.089543466393998</v>
      </c>
      <c r="L110" s="208">
        <f t="shared" si="20"/>
        <v>0</v>
      </c>
      <c r="M110" s="150"/>
      <c r="N110" s="145"/>
      <c r="O110" s="145"/>
      <c r="P110" s="145"/>
      <c r="Q110" s="145"/>
      <c r="R110" s="145"/>
      <c r="S110" s="145"/>
      <c r="T110" s="145"/>
      <c r="U110" s="145"/>
      <c r="V110" s="145"/>
      <c r="W110" s="145"/>
      <c r="X110" s="145"/>
      <c r="Y110" s="145"/>
      <c r="Z110" s="145"/>
    </row>
    <row r="111" spans="1:26" ht="15.75" x14ac:dyDescent="0.25">
      <c r="A111" s="260" t="s">
        <v>71</v>
      </c>
      <c r="B111" s="192">
        <v>31</v>
      </c>
      <c r="C111" s="261">
        <f>0.09*F16</f>
        <v>1107</v>
      </c>
      <c r="D111" s="262">
        <v>1.18</v>
      </c>
      <c r="E111" s="151">
        <f t="shared" si="21"/>
        <v>141.22514999999999</v>
      </c>
      <c r="F111" s="151">
        <f t="shared" si="22"/>
        <v>20</v>
      </c>
      <c r="G111" s="263">
        <f t="shared" si="15"/>
        <v>160.06676400000003</v>
      </c>
      <c r="H111" s="264">
        <f t="shared" si="16"/>
        <v>160.06676400000003</v>
      </c>
      <c r="I111" s="264">
        <f t="shared" si="17"/>
        <v>0</v>
      </c>
      <c r="J111" s="264">
        <f t="shared" si="18"/>
        <v>946.93323599999997</v>
      </c>
      <c r="K111" s="208">
        <f t="shared" si="19"/>
        <v>22.605452755914602</v>
      </c>
      <c r="L111" s="208">
        <f t="shared" si="20"/>
        <v>0</v>
      </c>
      <c r="M111" s="150"/>
      <c r="N111" s="145"/>
      <c r="O111" s="145"/>
      <c r="P111" s="145"/>
      <c r="Q111" s="145"/>
      <c r="R111" s="145"/>
      <c r="S111" s="145"/>
      <c r="T111" s="145"/>
      <c r="U111" s="145"/>
      <c r="V111" s="145"/>
      <c r="W111" s="145"/>
      <c r="X111" s="145"/>
      <c r="Y111" s="145"/>
      <c r="Z111" s="145"/>
    </row>
    <row r="112" spans="1:26" ht="15.75" x14ac:dyDescent="0.25">
      <c r="A112" s="260" t="s">
        <v>72</v>
      </c>
      <c r="B112" s="192">
        <v>30</v>
      </c>
      <c r="C112" s="261">
        <f>0.09*F16</f>
        <v>1107</v>
      </c>
      <c r="D112" s="262">
        <v>0.5</v>
      </c>
      <c r="E112" s="151">
        <f t="shared" si="21"/>
        <v>141.22514999999999</v>
      </c>
      <c r="F112" s="151">
        <f t="shared" si="22"/>
        <v>20</v>
      </c>
      <c r="G112" s="263">
        <f t="shared" si="15"/>
        <v>65.637</v>
      </c>
      <c r="H112" s="264">
        <f t="shared" si="16"/>
        <v>65.637</v>
      </c>
      <c r="I112" s="264">
        <f t="shared" si="17"/>
        <v>0</v>
      </c>
      <c r="J112" s="264">
        <f t="shared" si="18"/>
        <v>1041.3630000000001</v>
      </c>
      <c r="K112" s="208">
        <f t="shared" si="19"/>
        <v>9.2695951705499997</v>
      </c>
      <c r="L112" s="208">
        <f t="shared" si="20"/>
        <v>0</v>
      </c>
      <c r="M112" s="150"/>
      <c r="N112" s="145"/>
      <c r="O112" s="145"/>
      <c r="P112" s="145"/>
      <c r="Q112" s="145"/>
      <c r="R112" s="145"/>
      <c r="S112" s="145"/>
      <c r="T112" s="145"/>
      <c r="U112" s="145"/>
      <c r="V112" s="145"/>
      <c r="W112" s="145"/>
      <c r="X112" s="145"/>
      <c r="Y112" s="145"/>
      <c r="Z112" s="145"/>
    </row>
    <row r="113" spans="1:26" ht="15.75" x14ac:dyDescent="0.25">
      <c r="A113" s="260" t="s">
        <v>73</v>
      </c>
      <c r="B113" s="192">
        <v>31</v>
      </c>
      <c r="C113" s="261">
        <f>0.09*F16</f>
        <v>1107</v>
      </c>
      <c r="D113" s="262">
        <v>0.2</v>
      </c>
      <c r="E113" s="151">
        <f t="shared" si="21"/>
        <v>141.22514999999999</v>
      </c>
      <c r="F113" s="151">
        <f t="shared" si="22"/>
        <v>20</v>
      </c>
      <c r="G113" s="263">
        <f t="shared" si="15"/>
        <v>27.129960000000004</v>
      </c>
      <c r="H113" s="264">
        <f t="shared" si="16"/>
        <v>27.129960000000004</v>
      </c>
      <c r="I113" s="264">
        <f t="shared" si="17"/>
        <v>0</v>
      </c>
      <c r="J113" s="264">
        <f t="shared" si="18"/>
        <v>1079.87004</v>
      </c>
      <c r="K113" s="208">
        <f t="shared" si="19"/>
        <v>3.8314326704940003</v>
      </c>
      <c r="L113" s="208">
        <f t="shared" si="20"/>
        <v>0</v>
      </c>
      <c r="M113" s="150"/>
      <c r="N113" s="145"/>
      <c r="O113" s="145"/>
      <c r="P113" s="145"/>
      <c r="Q113" s="145"/>
      <c r="R113" s="145"/>
      <c r="S113" s="145"/>
      <c r="T113" s="145"/>
      <c r="U113" s="145"/>
      <c r="V113" s="145"/>
      <c r="W113" s="145"/>
      <c r="X113" s="145"/>
      <c r="Y113" s="145"/>
      <c r="Z113" s="145"/>
    </row>
    <row r="114" spans="1:26" ht="15.75" x14ac:dyDescent="0.25">
      <c r="A114" s="265" t="s">
        <v>220</v>
      </c>
      <c r="B114" s="264">
        <f t="shared" ref="B114:C114" si="23">SUM(B102:B113)</f>
        <v>365</v>
      </c>
      <c r="C114" s="257">
        <f t="shared" si="23"/>
        <v>12300</v>
      </c>
      <c r="D114" s="192"/>
      <c r="E114" s="145"/>
      <c r="F114" s="145"/>
      <c r="G114" s="266">
        <f t="shared" ref="G114:L114" si="24">SUM(G102:G113)</f>
        <v>4402.6674120000007</v>
      </c>
      <c r="H114" s="267">
        <f t="shared" si="24"/>
        <v>2974.8777720000012</v>
      </c>
      <c r="I114" s="268">
        <f t="shared" si="24"/>
        <v>1427.78964</v>
      </c>
      <c r="J114" s="268">
        <f t="shared" si="24"/>
        <v>9325.1222280000002</v>
      </c>
      <c r="K114" s="269">
        <f t="shared" si="24"/>
        <v>621.76736565981184</v>
      </c>
      <c r="L114" s="269">
        <f t="shared" si="24"/>
        <v>28.555792800000003</v>
      </c>
      <c r="M114" s="150"/>
      <c r="N114" s="145"/>
      <c r="O114" s="145"/>
      <c r="P114" s="145"/>
      <c r="Q114" s="145"/>
      <c r="R114" s="145"/>
      <c r="S114" s="145"/>
      <c r="T114" s="145"/>
      <c r="U114" s="145"/>
      <c r="V114" s="145"/>
      <c r="W114" s="145"/>
      <c r="X114" s="145"/>
      <c r="Y114" s="145"/>
      <c r="Z114" s="145"/>
    </row>
    <row r="115" spans="1:26" ht="15.75" x14ac:dyDescent="0.25">
      <c r="A115" s="270"/>
      <c r="B115" s="271"/>
      <c r="C115" s="145" t="s">
        <v>4</v>
      </c>
      <c r="D115" s="145"/>
      <c r="E115" s="272"/>
      <c r="F115" s="272"/>
      <c r="G115" s="272"/>
      <c r="H115" s="145"/>
      <c r="I115" s="145"/>
      <c r="J115" s="237"/>
      <c r="K115" s="273"/>
      <c r="L115" s="273"/>
      <c r="M115" s="274"/>
      <c r="N115" s="145"/>
      <c r="O115" s="145"/>
      <c r="P115" s="145"/>
      <c r="Q115" s="145"/>
      <c r="R115" s="145"/>
      <c r="S115" s="145"/>
      <c r="T115" s="145"/>
      <c r="U115" s="145"/>
      <c r="V115" s="145"/>
      <c r="W115" s="145"/>
      <c r="X115" s="145"/>
      <c r="Y115" s="145"/>
      <c r="Z115" s="145"/>
    </row>
    <row r="116" spans="1:26" ht="15.75" x14ac:dyDescent="0.25">
      <c r="A116" s="394" t="s">
        <v>221</v>
      </c>
      <c r="B116" s="395"/>
      <c r="C116" s="396"/>
      <c r="D116" s="275">
        <f>G114</f>
        <v>4402.6674120000007</v>
      </c>
      <c r="E116" s="145" t="s">
        <v>10</v>
      </c>
      <c r="F116" s="145"/>
      <c r="G116" s="145"/>
      <c r="H116" s="145"/>
      <c r="I116" s="145"/>
      <c r="J116" s="145"/>
      <c r="K116" s="145"/>
      <c r="L116" s="145"/>
      <c r="M116" s="145"/>
      <c r="N116" s="145"/>
      <c r="O116" s="145"/>
      <c r="P116" s="145"/>
      <c r="Q116" s="145"/>
      <c r="R116" s="145"/>
      <c r="S116" s="145"/>
      <c r="T116" s="145"/>
      <c r="U116" s="145"/>
      <c r="V116" s="145"/>
      <c r="W116" s="145"/>
      <c r="X116" s="145"/>
      <c r="Y116" s="145"/>
      <c r="Z116" s="145"/>
    </row>
    <row r="117" spans="1:26" ht="15.75" x14ac:dyDescent="0.25">
      <c r="A117" s="394" t="s">
        <v>222</v>
      </c>
      <c r="B117" s="395"/>
      <c r="C117" s="396"/>
      <c r="D117" s="276">
        <f>I114/G114</f>
        <v>0.32430104443237917</v>
      </c>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row>
    <row r="118" spans="1:26" ht="15.75" x14ac:dyDescent="0.25">
      <c r="A118" s="145"/>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row>
    <row r="119" spans="1:26" ht="15.75" x14ac:dyDescent="0.25">
      <c r="A119" s="145"/>
      <c r="B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row>
    <row r="120" spans="1:26" ht="15.75" x14ac:dyDescent="0.25">
      <c r="A120" s="145"/>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row>
    <row r="121" spans="1:26" ht="15.75" x14ac:dyDescent="0.25">
      <c r="A121" s="157" t="s">
        <v>223</v>
      </c>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row>
    <row r="122" spans="1:26" ht="15.75" x14ac:dyDescent="0.25">
      <c r="A122" s="157" t="s">
        <v>224</v>
      </c>
      <c r="B122" s="145"/>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row>
    <row r="123" spans="1:26" ht="15.75" x14ac:dyDescent="0.25">
      <c r="A123" s="145"/>
      <c r="B123" s="145"/>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row>
    <row r="124" spans="1:26" ht="15.75" x14ac:dyDescent="0.25">
      <c r="A124" s="145"/>
      <c r="B124" s="145"/>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row>
    <row r="125" spans="1:26" ht="15.75" x14ac:dyDescent="0.25">
      <c r="A125" s="145"/>
      <c r="B125" s="145"/>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row>
    <row r="126" spans="1:26" ht="15.75" x14ac:dyDescent="0.25">
      <c r="A126" s="145"/>
      <c r="B126" s="145"/>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row>
    <row r="127" spans="1:26" ht="15.75" x14ac:dyDescent="0.25">
      <c r="A127" s="145"/>
      <c r="B127" s="145"/>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row>
    <row r="128" spans="1:26" ht="15.75" x14ac:dyDescent="0.25">
      <c r="A128" s="145"/>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row>
    <row r="129" spans="1:26" ht="15.75" x14ac:dyDescent="0.25">
      <c r="A129" s="145"/>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row>
    <row r="130" spans="1:26" ht="15.75" x14ac:dyDescent="0.25">
      <c r="A130" s="145"/>
      <c r="B130" s="145"/>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row>
    <row r="131" spans="1:26" ht="15.75" x14ac:dyDescent="0.25">
      <c r="A131" s="145"/>
      <c r="B131" s="145"/>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row>
    <row r="132" spans="1:26" ht="15.75" x14ac:dyDescent="0.25">
      <c r="A132" s="145"/>
      <c r="B132" s="145"/>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row>
    <row r="133" spans="1:26" ht="15.75" x14ac:dyDescent="0.25">
      <c r="A133" s="145"/>
      <c r="B133" s="145"/>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row>
    <row r="134" spans="1:26" ht="15.75" x14ac:dyDescent="0.25">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row>
    <row r="135" spans="1:26" ht="15.75" x14ac:dyDescent="0.25">
      <c r="A135" s="145"/>
      <c r="B135" s="145"/>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row>
    <row r="136" spans="1:26" ht="15.75" x14ac:dyDescent="0.25">
      <c r="A136" s="145"/>
      <c r="B136" s="145"/>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row>
    <row r="137" spans="1:26" ht="15.75" x14ac:dyDescent="0.25">
      <c r="A137" s="145"/>
      <c r="B137" s="145"/>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row>
    <row r="138" spans="1:26" ht="15.75" x14ac:dyDescent="0.25">
      <c r="A138" s="145"/>
      <c r="B138" s="145"/>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row>
    <row r="139" spans="1:26" ht="15.75" x14ac:dyDescent="0.25">
      <c r="A139" s="145"/>
      <c r="B139" s="145"/>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row>
    <row r="140" spans="1:26" ht="15.75" x14ac:dyDescent="0.25">
      <c r="A140" s="14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row>
    <row r="141" spans="1:26" ht="15.75" x14ac:dyDescent="0.25">
      <c r="A141" s="145"/>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row>
    <row r="142" spans="1:26" ht="15.75" x14ac:dyDescent="0.25">
      <c r="A142" s="14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row>
    <row r="143" spans="1:26" ht="15.75" x14ac:dyDescent="0.25">
      <c r="A143" s="145"/>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row>
    <row r="144" spans="1:26" ht="15.75" x14ac:dyDescent="0.25">
      <c r="A144" s="145"/>
      <c r="B144" s="145"/>
      <c r="C144" s="145"/>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row>
    <row r="145" spans="1:26" ht="15.75" x14ac:dyDescent="0.25">
      <c r="A145" s="145"/>
      <c r="B145" s="145"/>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row>
    <row r="146" spans="1:26" ht="15.75" x14ac:dyDescent="0.25">
      <c r="A146" s="145"/>
      <c r="B146" s="145"/>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row>
    <row r="147" spans="1:26" ht="15.75" x14ac:dyDescent="0.25">
      <c r="A147" s="145"/>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row>
    <row r="148" spans="1:26" ht="15.75" x14ac:dyDescent="0.25">
      <c r="A148" s="145"/>
      <c r="B148" s="145"/>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row>
    <row r="149" spans="1:26" ht="15.75" x14ac:dyDescent="0.25">
      <c r="A149" s="145"/>
      <c r="B149" s="145"/>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row>
    <row r="150" spans="1:26" ht="15.75" x14ac:dyDescent="0.25">
      <c r="A150" s="145"/>
      <c r="B150" s="145"/>
      <c r="C150" s="145"/>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row>
    <row r="151" spans="1:26" ht="15.75" x14ac:dyDescent="0.25">
      <c r="A151" s="145"/>
      <c r="B151" s="145"/>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row>
    <row r="152" spans="1:26" ht="15.75" x14ac:dyDescent="0.25">
      <c r="A152" s="145"/>
      <c r="B152" s="145"/>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row>
    <row r="153" spans="1:26" ht="15.75" x14ac:dyDescent="0.25">
      <c r="A153" s="145"/>
      <c r="B153" s="145"/>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row>
    <row r="154" spans="1:26" ht="15.75" x14ac:dyDescent="0.25">
      <c r="A154" s="145"/>
      <c r="B154" s="145"/>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row>
    <row r="155" spans="1:26" ht="15.75" x14ac:dyDescent="0.25">
      <c r="A155" s="145"/>
      <c r="B155" s="145"/>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row>
    <row r="156" spans="1:26" ht="15.75" x14ac:dyDescent="0.25">
      <c r="A156" s="145"/>
      <c r="B156" s="145"/>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row>
    <row r="157" spans="1:26" ht="15.75" x14ac:dyDescent="0.25">
      <c r="A157" s="145"/>
      <c r="B157" s="145"/>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row>
    <row r="158" spans="1:26" ht="15.75" x14ac:dyDescent="0.25">
      <c r="A158" s="145"/>
      <c r="B158" s="145"/>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row>
    <row r="159" spans="1:26" ht="15.75" x14ac:dyDescent="0.25">
      <c r="A159" s="145"/>
      <c r="B159" s="145"/>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row>
    <row r="160" spans="1:26" ht="15.75" x14ac:dyDescent="0.25">
      <c r="A160" s="145"/>
      <c r="B160" s="145"/>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row>
    <row r="161" spans="1:26" ht="15.75" x14ac:dyDescent="0.25">
      <c r="A161" s="145"/>
      <c r="B161" s="145"/>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row>
    <row r="162" spans="1:26" ht="15.75" x14ac:dyDescent="0.25">
      <c r="A162" s="145"/>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row>
    <row r="163" spans="1:26" ht="15.75" x14ac:dyDescent="0.25">
      <c r="A163" s="145"/>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row>
    <row r="164" spans="1:26" ht="15.75" x14ac:dyDescent="0.25">
      <c r="A164" s="145"/>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row>
    <row r="165" spans="1:26" ht="15.75" x14ac:dyDescent="0.25">
      <c r="A165" s="145"/>
      <c r="B165" s="145"/>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row>
    <row r="166" spans="1:26" ht="15.75" x14ac:dyDescent="0.25">
      <c r="A166" s="145"/>
      <c r="B166" s="145"/>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row>
    <row r="167" spans="1:26" ht="15.75" x14ac:dyDescent="0.25">
      <c r="A167" s="145"/>
      <c r="B167" s="145"/>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row>
    <row r="168" spans="1:26" ht="15.75" x14ac:dyDescent="0.25">
      <c r="A168" s="145"/>
      <c r="B168" s="145"/>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row>
    <row r="169" spans="1:26" ht="15.75" x14ac:dyDescent="0.25">
      <c r="A169" s="145"/>
      <c r="B169" s="145"/>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row>
    <row r="170" spans="1:26" ht="15.75" x14ac:dyDescent="0.25">
      <c r="A170" s="145"/>
      <c r="B170" s="145"/>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row>
    <row r="171" spans="1:26" ht="15.75" x14ac:dyDescent="0.25">
      <c r="A171" s="145"/>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row>
    <row r="172" spans="1:26" ht="15.75" x14ac:dyDescent="0.25">
      <c r="A172" s="145"/>
      <c r="B172" s="145"/>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row>
    <row r="173" spans="1:26" ht="15.75" x14ac:dyDescent="0.25">
      <c r="A173" s="145"/>
      <c r="B173" s="145"/>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row>
    <row r="174" spans="1:26" ht="15.75" x14ac:dyDescent="0.25">
      <c r="A174" s="145"/>
      <c r="B174" s="1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row>
    <row r="175" spans="1:26" ht="15.75" x14ac:dyDescent="0.25">
      <c r="A175" s="145"/>
      <c r="B175" s="145"/>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row>
    <row r="176" spans="1:26" ht="15.75" x14ac:dyDescent="0.25">
      <c r="A176" s="145"/>
      <c r="B176" s="145"/>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row>
    <row r="177" spans="1:26" ht="15.75" x14ac:dyDescent="0.25">
      <c r="A177" s="145"/>
      <c r="B177" s="145"/>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row>
    <row r="178" spans="1:26" ht="15.75" x14ac:dyDescent="0.25">
      <c r="A178" s="145"/>
      <c r="B178" s="145"/>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row>
    <row r="179" spans="1:26" ht="15.75" x14ac:dyDescent="0.25">
      <c r="A179" s="145"/>
      <c r="B179" s="145"/>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row>
    <row r="180" spans="1:26" ht="15.75" x14ac:dyDescent="0.25">
      <c r="A180" s="145"/>
      <c r="B180" s="145"/>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row>
    <row r="181" spans="1:26" ht="15.75" x14ac:dyDescent="0.25">
      <c r="A181" s="145"/>
      <c r="B181" s="145"/>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row>
    <row r="182" spans="1:26" ht="15.75" x14ac:dyDescent="0.25">
      <c r="A182" s="145"/>
      <c r="B182" s="145"/>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row>
    <row r="183" spans="1:26" ht="15.75" x14ac:dyDescent="0.25">
      <c r="A183" s="145"/>
      <c r="B183" s="145"/>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row>
    <row r="184" spans="1:26" ht="15.75" x14ac:dyDescent="0.25">
      <c r="A184" s="145"/>
      <c r="B184" s="145"/>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row>
    <row r="185" spans="1:26" ht="15.75" x14ac:dyDescent="0.25">
      <c r="A185" s="145"/>
      <c r="B185" s="145"/>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row>
    <row r="186" spans="1:26" ht="15.75" x14ac:dyDescent="0.25">
      <c r="A186" s="145"/>
      <c r="B186" s="145"/>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row>
    <row r="187" spans="1:26" ht="15.75" x14ac:dyDescent="0.25">
      <c r="A187" s="145"/>
      <c r="B187" s="145"/>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row>
    <row r="188" spans="1:26" ht="15.75" x14ac:dyDescent="0.25">
      <c r="A188" s="145"/>
      <c r="B188" s="145"/>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row>
    <row r="189" spans="1:26" ht="15.75" x14ac:dyDescent="0.25">
      <c r="A189" s="145"/>
      <c r="B189" s="145"/>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row>
    <row r="190" spans="1:26" ht="15.75" x14ac:dyDescent="0.25">
      <c r="A190" s="145"/>
      <c r="B190" s="145"/>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row>
    <row r="191" spans="1:26" ht="15.75" x14ac:dyDescent="0.25">
      <c r="A191" s="145"/>
      <c r="B191" s="145"/>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row>
    <row r="192" spans="1:26" ht="15.75" x14ac:dyDescent="0.25">
      <c r="A192" s="145"/>
      <c r="B192" s="145"/>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row>
    <row r="193" spans="1:26" ht="15.75" x14ac:dyDescent="0.25">
      <c r="A193" s="145"/>
      <c r="B193" s="145"/>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row>
    <row r="194" spans="1:26" ht="15.75" x14ac:dyDescent="0.25">
      <c r="A194" s="145"/>
      <c r="B194" s="145"/>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row>
    <row r="195" spans="1:26" ht="15.75" x14ac:dyDescent="0.25">
      <c r="A195" s="145"/>
      <c r="B195" s="145"/>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row>
    <row r="196" spans="1:26" ht="15.75" x14ac:dyDescent="0.25">
      <c r="A196" s="145"/>
      <c r="B196" s="145"/>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row>
    <row r="197" spans="1:26" ht="15.75" x14ac:dyDescent="0.25">
      <c r="A197" s="145"/>
      <c r="B197" s="145"/>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5"/>
    </row>
    <row r="198" spans="1:26" ht="15.75" x14ac:dyDescent="0.25">
      <c r="A198" s="145"/>
      <c r="B198" s="145"/>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row>
    <row r="199" spans="1:26" ht="15.75" x14ac:dyDescent="0.25">
      <c r="A199" s="145"/>
      <c r="B199" s="145"/>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5"/>
    </row>
    <row r="200" spans="1:26" ht="15.75" x14ac:dyDescent="0.25">
      <c r="A200" s="145"/>
      <c r="B200" s="145"/>
      <c r="C200" s="145"/>
      <c r="D200" s="145"/>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5"/>
    </row>
    <row r="201" spans="1:26" ht="15.75" x14ac:dyDescent="0.25">
      <c r="A201" s="145"/>
      <c r="B201" s="145"/>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row>
    <row r="202" spans="1:26" ht="15.75" x14ac:dyDescent="0.25">
      <c r="A202" s="145"/>
      <c r="B202" s="145"/>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row>
    <row r="203" spans="1:26" ht="15.75" x14ac:dyDescent="0.25">
      <c r="A203" s="145"/>
      <c r="B203" s="145"/>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row>
    <row r="204" spans="1:26" ht="15.75" x14ac:dyDescent="0.25">
      <c r="A204" s="145"/>
      <c r="B204" s="145"/>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row>
    <row r="205" spans="1:26" ht="15.75" x14ac:dyDescent="0.25">
      <c r="A205" s="145"/>
      <c r="B205" s="145"/>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row>
    <row r="206" spans="1:26" ht="15.75" x14ac:dyDescent="0.25">
      <c r="A206" s="145"/>
      <c r="B206" s="145"/>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row>
    <row r="207" spans="1:26" ht="15.75" x14ac:dyDescent="0.25">
      <c r="A207" s="145"/>
      <c r="B207" s="145"/>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row>
    <row r="208" spans="1:26" ht="15.75" x14ac:dyDescent="0.25">
      <c r="A208" s="145"/>
      <c r="B208" s="145"/>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row>
    <row r="209" spans="1:26" ht="15.75" x14ac:dyDescent="0.25">
      <c r="A209" s="145"/>
      <c r="B209" s="145"/>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row>
    <row r="210" spans="1:26" ht="15.75" x14ac:dyDescent="0.25">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row>
    <row r="211" spans="1:26" ht="15.75" x14ac:dyDescent="0.25">
      <c r="A211" s="145"/>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row>
    <row r="212" spans="1:26" ht="15.75" x14ac:dyDescent="0.25">
      <c r="A212" s="145"/>
      <c r="B212" s="145"/>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row>
    <row r="213" spans="1:26" ht="15.75" x14ac:dyDescent="0.25">
      <c r="A213" s="145"/>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row>
    <row r="214" spans="1:26" ht="15.75" x14ac:dyDescent="0.25">
      <c r="A214" s="145"/>
      <c r="B214" s="145"/>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row>
    <row r="215" spans="1:26" ht="15.75" x14ac:dyDescent="0.25">
      <c r="A215" s="145"/>
      <c r="B215" s="145"/>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row>
    <row r="216" spans="1:26" ht="15.75" x14ac:dyDescent="0.25">
      <c r="A216" s="145"/>
      <c r="B216" s="145"/>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row>
    <row r="217" spans="1:26" ht="15.75" x14ac:dyDescent="0.25">
      <c r="A217" s="145"/>
      <c r="B217" s="145"/>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row>
    <row r="218" spans="1:26" ht="15.75" x14ac:dyDescent="0.25">
      <c r="A218" s="145"/>
      <c r="B218" s="145"/>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row>
    <row r="219" spans="1:26" ht="15.75" x14ac:dyDescent="0.25">
      <c r="A219" s="145"/>
      <c r="B219" s="145"/>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row>
    <row r="220" spans="1:26" ht="15.75" x14ac:dyDescent="0.25">
      <c r="A220" s="145"/>
      <c r="B220" s="145"/>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row>
    <row r="221" spans="1:26" ht="15.75" x14ac:dyDescent="0.25">
      <c r="A221" s="145"/>
      <c r="B221" s="145"/>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row>
    <row r="222" spans="1:26" ht="15.75" x14ac:dyDescent="0.25">
      <c r="A222" s="145"/>
      <c r="B222" s="145"/>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row>
    <row r="223" spans="1:26" ht="15.75" x14ac:dyDescent="0.25">
      <c r="A223" s="145"/>
      <c r="B223" s="145"/>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row>
    <row r="224" spans="1:26" ht="15.75" x14ac:dyDescent="0.25">
      <c r="A224" s="145"/>
      <c r="B224" s="145"/>
      <c r="C224" s="145"/>
      <c r="D224" s="145"/>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row>
    <row r="225" spans="1:26" ht="15.75" x14ac:dyDescent="0.25">
      <c r="A225" s="145"/>
      <c r="B225" s="145"/>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row>
    <row r="226" spans="1:26" ht="15.75" x14ac:dyDescent="0.25">
      <c r="A226" s="145"/>
      <c r="B226" s="145"/>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row>
    <row r="227" spans="1:26" ht="15.75" x14ac:dyDescent="0.25">
      <c r="A227" s="145"/>
      <c r="B227" s="145"/>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row>
    <row r="228" spans="1:26" ht="15.75" x14ac:dyDescent="0.25">
      <c r="A228" s="145"/>
      <c r="B228" s="145"/>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row>
    <row r="229" spans="1:26" ht="15.75" x14ac:dyDescent="0.25">
      <c r="A229" s="145"/>
      <c r="B229" s="145"/>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row>
    <row r="230" spans="1:26" ht="15.75" x14ac:dyDescent="0.25">
      <c r="A230" s="145"/>
      <c r="B230" s="145"/>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row>
    <row r="231" spans="1:26" ht="15.75" x14ac:dyDescent="0.25">
      <c r="A231" s="145"/>
      <c r="B231" s="145"/>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row>
    <row r="232" spans="1:26" ht="15.75" x14ac:dyDescent="0.25">
      <c r="A232" s="145"/>
      <c r="B232" s="145"/>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row>
    <row r="233" spans="1:26" ht="15.75" x14ac:dyDescent="0.25">
      <c r="A233" s="145"/>
      <c r="B233" s="145"/>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row>
    <row r="234" spans="1:26" ht="15.75" x14ac:dyDescent="0.25">
      <c r="A234" s="145"/>
      <c r="B234" s="145"/>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row>
    <row r="235" spans="1:26" ht="15.75" x14ac:dyDescent="0.25">
      <c r="A235" s="145"/>
      <c r="B235" s="145"/>
      <c r="C235" s="145"/>
      <c r="D235" s="145"/>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row>
    <row r="236" spans="1:26" ht="15.75" x14ac:dyDescent="0.25">
      <c r="A236" s="145"/>
      <c r="B236" s="145"/>
      <c r="C236" s="145"/>
      <c r="D236" s="145"/>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row>
    <row r="237" spans="1:26" ht="15.75" x14ac:dyDescent="0.25">
      <c r="A237" s="145"/>
      <c r="B237" s="145"/>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row>
    <row r="238" spans="1:26" ht="15.75" x14ac:dyDescent="0.25">
      <c r="A238" s="145"/>
      <c r="B238" s="145"/>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row>
    <row r="239" spans="1:26" ht="15.75" x14ac:dyDescent="0.25">
      <c r="A239" s="145"/>
      <c r="B239" s="145"/>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row>
    <row r="240" spans="1:26" ht="15.75" x14ac:dyDescent="0.25">
      <c r="A240" s="145"/>
      <c r="B240" s="145"/>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row>
    <row r="241" spans="1:26" ht="15.75" x14ac:dyDescent="0.25">
      <c r="A241" s="145"/>
      <c r="B241" s="145"/>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row>
    <row r="242" spans="1:26" ht="15.75" x14ac:dyDescent="0.25">
      <c r="A242" s="145"/>
      <c r="B242" s="145"/>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row>
    <row r="243" spans="1:26" ht="15.75" x14ac:dyDescent="0.25">
      <c r="A243" s="145"/>
      <c r="B243" s="145"/>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row>
    <row r="244" spans="1:26" ht="15.75" x14ac:dyDescent="0.25">
      <c r="A244" s="145"/>
      <c r="B244" s="145"/>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row>
    <row r="245" spans="1:26" ht="15.75" x14ac:dyDescent="0.25">
      <c r="A245" s="145"/>
      <c r="B245" s="145"/>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row>
    <row r="246" spans="1:26" ht="15.75" x14ac:dyDescent="0.25">
      <c r="A246" s="145"/>
      <c r="B246" s="145"/>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row>
    <row r="247" spans="1:26" ht="15.75" x14ac:dyDescent="0.25">
      <c r="A247" s="145"/>
      <c r="B247" s="145"/>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row>
    <row r="248" spans="1:26" ht="15.75" x14ac:dyDescent="0.25">
      <c r="A248" s="145"/>
      <c r="B248" s="145"/>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row>
    <row r="249" spans="1:26" ht="15.75" x14ac:dyDescent="0.25">
      <c r="A249" s="145"/>
      <c r="B249" s="145"/>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row>
    <row r="250" spans="1:26" ht="15.75" x14ac:dyDescent="0.25">
      <c r="A250" s="145"/>
      <c r="B250" s="145"/>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row>
    <row r="251" spans="1:26" ht="15.75" x14ac:dyDescent="0.25">
      <c r="A251" s="145"/>
      <c r="B251" s="145"/>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row>
    <row r="252" spans="1:26" ht="15.75" x14ac:dyDescent="0.25">
      <c r="A252" s="145"/>
      <c r="B252" s="145"/>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row>
    <row r="253" spans="1:26" ht="15.75" x14ac:dyDescent="0.25">
      <c r="A253" s="145"/>
      <c r="B253" s="145"/>
      <c r="C253" s="145"/>
      <c r="D253" s="145"/>
      <c r="E253" s="145"/>
      <c r="F253" s="145"/>
      <c r="G253" s="145"/>
      <c r="H253" s="145"/>
      <c r="I253" s="145"/>
      <c r="J253" s="145"/>
      <c r="K253" s="145"/>
      <c r="L253" s="145"/>
      <c r="M253" s="145"/>
      <c r="N253" s="145"/>
      <c r="O253" s="145"/>
      <c r="P253" s="145"/>
      <c r="Q253" s="145"/>
      <c r="R253" s="145"/>
      <c r="S253" s="145"/>
      <c r="T253" s="145"/>
      <c r="U253" s="145"/>
      <c r="V253" s="145"/>
      <c r="W253" s="145"/>
      <c r="X253" s="145"/>
      <c r="Y253" s="145"/>
      <c r="Z253" s="145"/>
    </row>
    <row r="254" spans="1:26" ht="15.75" x14ac:dyDescent="0.25">
      <c r="A254" s="145"/>
      <c r="B254" s="145"/>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row>
    <row r="255" spans="1:26" ht="15.75" x14ac:dyDescent="0.25">
      <c r="A255" s="145"/>
      <c r="B255" s="145"/>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row>
    <row r="256" spans="1:26" ht="15.75" x14ac:dyDescent="0.25">
      <c r="A256" s="145"/>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row>
    <row r="257" spans="1:26" ht="15.75" x14ac:dyDescent="0.25">
      <c r="A257" s="145"/>
      <c r="B257" s="145"/>
      <c r="C257" s="145"/>
      <c r="D257" s="145"/>
      <c r="E257" s="145"/>
      <c r="F257" s="145"/>
      <c r="G257" s="145"/>
      <c r="H257" s="145"/>
      <c r="I257" s="145"/>
      <c r="J257" s="145"/>
      <c r="K257" s="145"/>
      <c r="L257" s="145"/>
      <c r="M257" s="145"/>
      <c r="N257" s="145"/>
      <c r="O257" s="145"/>
      <c r="P257" s="145"/>
      <c r="Q257" s="145"/>
      <c r="R257" s="145"/>
      <c r="S257" s="145"/>
      <c r="T257" s="145"/>
      <c r="U257" s="145"/>
      <c r="V257" s="145"/>
      <c r="W257" s="145"/>
      <c r="X257" s="145"/>
      <c r="Y257" s="145"/>
      <c r="Z257" s="145"/>
    </row>
    <row r="258" spans="1:26" ht="15.75" x14ac:dyDescent="0.25">
      <c r="A258" s="145"/>
      <c r="B258" s="145"/>
      <c r="C258" s="145"/>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row>
    <row r="259" spans="1:26" ht="15.75" x14ac:dyDescent="0.25">
      <c r="A259" s="145"/>
      <c r="B259" s="145"/>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5"/>
      <c r="Z259" s="145"/>
    </row>
    <row r="260" spans="1:26" ht="15.75" x14ac:dyDescent="0.25">
      <c r="A260" s="145"/>
      <c r="B260" s="145"/>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row>
    <row r="261" spans="1:26" ht="15.75" x14ac:dyDescent="0.25">
      <c r="A261" s="145"/>
      <c r="B261" s="145"/>
      <c r="C261" s="145"/>
      <c r="D261" s="145"/>
      <c r="E261" s="145"/>
      <c r="F261" s="145"/>
      <c r="G261" s="145"/>
      <c r="H261" s="145"/>
      <c r="I261" s="145"/>
      <c r="J261" s="145"/>
      <c r="K261" s="145"/>
      <c r="L261" s="145"/>
      <c r="M261" s="145"/>
      <c r="N261" s="145"/>
      <c r="O261" s="145"/>
      <c r="P261" s="145"/>
      <c r="Q261" s="145"/>
      <c r="R261" s="145"/>
      <c r="S261" s="145"/>
      <c r="T261" s="145"/>
      <c r="U261" s="145"/>
      <c r="V261" s="145"/>
      <c r="W261" s="145"/>
      <c r="X261" s="145"/>
      <c r="Y261" s="145"/>
      <c r="Z261" s="145"/>
    </row>
    <row r="262" spans="1:26" ht="15.75" x14ac:dyDescent="0.25">
      <c r="A262" s="145"/>
      <c r="B262" s="145"/>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row>
    <row r="263" spans="1:26" ht="15.75" x14ac:dyDescent="0.25">
      <c r="A263" s="145"/>
      <c r="B263" s="145"/>
      <c r="C263" s="145"/>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5"/>
      <c r="Z263" s="145"/>
    </row>
    <row r="264" spans="1:26" ht="15.75" x14ac:dyDescent="0.25">
      <c r="A264" s="145"/>
      <c r="B264" s="145"/>
      <c r="C264" s="145"/>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row>
    <row r="265" spans="1:26" ht="15.75" x14ac:dyDescent="0.25">
      <c r="A265" s="145"/>
      <c r="B265" s="145"/>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row>
    <row r="266" spans="1:26" ht="15.75" x14ac:dyDescent="0.25">
      <c r="A266" s="145"/>
      <c r="B266" s="145"/>
      <c r="C266" s="145"/>
      <c r="D266" s="145"/>
      <c r="E266" s="145"/>
      <c r="F266" s="145"/>
      <c r="G266" s="145"/>
      <c r="H266" s="145"/>
      <c r="I266" s="145"/>
      <c r="J266" s="145"/>
      <c r="K266" s="145"/>
      <c r="L266" s="145"/>
      <c r="M266" s="145"/>
      <c r="N266" s="145"/>
      <c r="O266" s="145"/>
      <c r="P266" s="145"/>
      <c r="Q266" s="145"/>
      <c r="R266" s="145"/>
      <c r="S266" s="145"/>
      <c r="T266" s="145"/>
      <c r="U266" s="145"/>
      <c r="V266" s="145"/>
      <c r="W266" s="145"/>
      <c r="X266" s="145"/>
      <c r="Y266" s="145"/>
      <c r="Z266" s="145"/>
    </row>
    <row r="267" spans="1:26" ht="15.75" x14ac:dyDescent="0.25">
      <c r="A267" s="145"/>
      <c r="B267" s="145"/>
      <c r="C267" s="145"/>
      <c r="D267" s="145"/>
      <c r="E267" s="145"/>
      <c r="F267" s="145"/>
      <c r="G267" s="145"/>
      <c r="H267" s="145"/>
      <c r="I267" s="145"/>
      <c r="J267" s="145"/>
      <c r="K267" s="145"/>
      <c r="L267" s="145"/>
      <c r="M267" s="145"/>
      <c r="N267" s="145"/>
      <c r="O267" s="145"/>
      <c r="P267" s="145"/>
      <c r="Q267" s="145"/>
      <c r="R267" s="145"/>
      <c r="S267" s="145"/>
      <c r="T267" s="145"/>
      <c r="U267" s="145"/>
      <c r="V267" s="145"/>
      <c r="W267" s="145"/>
      <c r="X267" s="145"/>
      <c r="Y267" s="145"/>
      <c r="Z267" s="145"/>
    </row>
    <row r="268" spans="1:26" ht="15.75" x14ac:dyDescent="0.25">
      <c r="A268" s="145"/>
      <c r="B268" s="145"/>
      <c r="C268" s="145"/>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row>
    <row r="269" spans="1:26" ht="15.75" x14ac:dyDescent="0.25">
      <c r="A269" s="145"/>
      <c r="B269" s="145"/>
      <c r="C269" s="145"/>
      <c r="D269" s="145"/>
      <c r="E269" s="145"/>
      <c r="F269" s="145"/>
      <c r="G269" s="145"/>
      <c r="H269" s="145"/>
      <c r="I269" s="145"/>
      <c r="J269" s="145"/>
      <c r="K269" s="145"/>
      <c r="L269" s="145"/>
      <c r="M269" s="145"/>
      <c r="N269" s="145"/>
      <c r="O269" s="145"/>
      <c r="P269" s="145"/>
      <c r="Q269" s="145"/>
      <c r="R269" s="145"/>
      <c r="S269" s="145"/>
      <c r="T269" s="145"/>
      <c r="U269" s="145"/>
      <c r="V269" s="145"/>
      <c r="W269" s="145"/>
      <c r="X269" s="145"/>
      <c r="Y269" s="145"/>
      <c r="Z269" s="145"/>
    </row>
    <row r="270" spans="1:26" ht="15.75" x14ac:dyDescent="0.25">
      <c r="A270" s="145"/>
      <c r="B270" s="145"/>
      <c r="C270" s="145"/>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row>
    <row r="271" spans="1:26" ht="15.75" x14ac:dyDescent="0.25">
      <c r="A271" s="145"/>
      <c r="B271" s="145"/>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row>
    <row r="272" spans="1:26" ht="15.75" x14ac:dyDescent="0.25">
      <c r="A272" s="145"/>
      <c r="B272" s="145"/>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row>
    <row r="273" spans="1:26" ht="15.75" x14ac:dyDescent="0.25">
      <c r="A273" s="145"/>
      <c r="B273" s="145"/>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row>
    <row r="274" spans="1:26" ht="15.75" x14ac:dyDescent="0.25">
      <c r="A274" s="145"/>
      <c r="B274" s="145"/>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row>
    <row r="275" spans="1:26" ht="15.75" x14ac:dyDescent="0.25">
      <c r="A275" s="145"/>
      <c r="B275" s="145"/>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row>
    <row r="276" spans="1:26" ht="15.75" x14ac:dyDescent="0.25">
      <c r="A276" s="145"/>
      <c r="B276" s="145"/>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row>
    <row r="277" spans="1:26" ht="15.75" x14ac:dyDescent="0.25">
      <c r="A277" s="145"/>
      <c r="B277" s="145"/>
      <c r="C277" s="145"/>
      <c r="D277" s="145"/>
      <c r="E277" s="145"/>
      <c r="F277" s="145"/>
      <c r="G277" s="145"/>
      <c r="H277" s="145"/>
      <c r="I277" s="145"/>
      <c r="J277" s="145"/>
      <c r="K277" s="145"/>
      <c r="L277" s="145"/>
      <c r="M277" s="145"/>
      <c r="N277" s="145"/>
      <c r="O277" s="145"/>
      <c r="P277" s="145"/>
      <c r="Q277" s="145"/>
      <c r="R277" s="145"/>
      <c r="S277" s="145"/>
      <c r="T277" s="145"/>
      <c r="U277" s="145"/>
      <c r="V277" s="145"/>
      <c r="W277" s="145"/>
      <c r="X277" s="145"/>
      <c r="Y277" s="145"/>
      <c r="Z277" s="145"/>
    </row>
    <row r="278" spans="1:26" ht="15.75" x14ac:dyDescent="0.25">
      <c r="A278" s="145"/>
      <c r="B278" s="145"/>
      <c r="C278" s="145"/>
      <c r="D278" s="145"/>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row>
    <row r="279" spans="1:26" ht="15.75" x14ac:dyDescent="0.25">
      <c r="A279" s="145"/>
      <c r="B279" s="145"/>
      <c r="C279" s="145"/>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row>
    <row r="280" spans="1:26" ht="15.75" x14ac:dyDescent="0.25">
      <c r="A280" s="145"/>
      <c r="B280" s="145"/>
      <c r="C280" s="145"/>
      <c r="D280" s="145"/>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row>
    <row r="281" spans="1:26" ht="15.75" x14ac:dyDescent="0.25">
      <c r="A281" s="145"/>
      <c r="B281" s="145"/>
      <c r="C281" s="145"/>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row>
    <row r="282" spans="1:26" ht="15.75" x14ac:dyDescent="0.25">
      <c r="A282" s="145"/>
      <c r="B282" s="145"/>
      <c r="C282" s="145"/>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row>
    <row r="283" spans="1:26" ht="15.75" x14ac:dyDescent="0.25">
      <c r="A283" s="145"/>
      <c r="B283" s="145"/>
      <c r="C283" s="145"/>
      <c r="D283" s="145"/>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row>
    <row r="284" spans="1:26" ht="15.75" x14ac:dyDescent="0.25">
      <c r="A284" s="145"/>
      <c r="B284" s="145"/>
      <c r="C284" s="145"/>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row>
    <row r="285" spans="1:26" ht="15.75" x14ac:dyDescent="0.25">
      <c r="A285" s="145"/>
      <c r="B285" s="145"/>
      <c r="C285" s="145"/>
      <c r="D285" s="145"/>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row>
    <row r="286" spans="1:26" ht="15.75" x14ac:dyDescent="0.25">
      <c r="A286" s="145"/>
      <c r="B286" s="145"/>
      <c r="C286" s="145"/>
      <c r="D286" s="145"/>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row>
    <row r="287" spans="1:26" ht="15.75" x14ac:dyDescent="0.25">
      <c r="A287" s="145"/>
      <c r="B287" s="145"/>
      <c r="C287" s="145"/>
      <c r="D287" s="145"/>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row>
    <row r="288" spans="1:26" ht="15.75" x14ac:dyDescent="0.25">
      <c r="A288" s="145"/>
      <c r="B288" s="145"/>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row>
    <row r="289" spans="1:26" ht="15.75" x14ac:dyDescent="0.25">
      <c r="A289" s="145"/>
      <c r="B289" s="145"/>
      <c r="C289" s="145"/>
      <c r="D289" s="145"/>
      <c r="E289" s="145"/>
      <c r="F289" s="145"/>
      <c r="G289" s="145"/>
      <c r="H289" s="145"/>
      <c r="I289" s="145"/>
      <c r="J289" s="145"/>
      <c r="K289" s="145"/>
      <c r="L289" s="145"/>
      <c r="M289" s="145"/>
      <c r="N289" s="145"/>
      <c r="O289" s="145"/>
      <c r="P289" s="145"/>
      <c r="Q289" s="145"/>
      <c r="R289" s="145"/>
      <c r="S289" s="145"/>
      <c r="T289" s="145"/>
      <c r="U289" s="145"/>
      <c r="V289" s="145"/>
      <c r="W289" s="145"/>
      <c r="X289" s="145"/>
      <c r="Y289" s="145"/>
      <c r="Z289" s="145"/>
    </row>
    <row r="290" spans="1:26" ht="15.75" x14ac:dyDescent="0.25">
      <c r="A290" s="145"/>
      <c r="B290" s="145"/>
      <c r="C290" s="145"/>
      <c r="D290" s="145"/>
      <c r="E290" s="145"/>
      <c r="F290" s="145"/>
      <c r="G290" s="145"/>
      <c r="H290" s="145"/>
      <c r="I290" s="145"/>
      <c r="J290" s="145"/>
      <c r="K290" s="145"/>
      <c r="L290" s="145"/>
      <c r="M290" s="145"/>
      <c r="N290" s="145"/>
      <c r="O290" s="145"/>
      <c r="P290" s="145"/>
      <c r="Q290" s="145"/>
      <c r="R290" s="145"/>
      <c r="S290" s="145"/>
      <c r="T290" s="145"/>
      <c r="U290" s="145"/>
      <c r="V290" s="145"/>
      <c r="W290" s="145"/>
      <c r="X290" s="145"/>
      <c r="Y290" s="145"/>
      <c r="Z290" s="145"/>
    </row>
    <row r="291" spans="1:26" ht="15.75" x14ac:dyDescent="0.25">
      <c r="A291" s="145"/>
      <c r="B291" s="145"/>
      <c r="C291" s="145"/>
      <c r="D291" s="145"/>
      <c r="E291" s="145"/>
      <c r="F291" s="145"/>
      <c r="G291" s="145"/>
      <c r="H291" s="145"/>
      <c r="I291" s="145"/>
      <c r="J291" s="145"/>
      <c r="K291" s="145"/>
      <c r="L291" s="145"/>
      <c r="M291" s="145"/>
      <c r="N291" s="145"/>
      <c r="O291" s="145"/>
      <c r="P291" s="145"/>
      <c r="Q291" s="145"/>
      <c r="R291" s="145"/>
      <c r="S291" s="145"/>
      <c r="T291" s="145"/>
      <c r="U291" s="145"/>
      <c r="V291" s="145"/>
      <c r="W291" s="145"/>
      <c r="X291" s="145"/>
      <c r="Y291" s="145"/>
      <c r="Z291" s="145"/>
    </row>
    <row r="292" spans="1:26" ht="15.75" x14ac:dyDescent="0.25">
      <c r="A292" s="145"/>
      <c r="B292" s="145"/>
      <c r="C292" s="145"/>
      <c r="D292" s="145"/>
      <c r="E292" s="145"/>
      <c r="F292" s="145"/>
      <c r="G292" s="145"/>
      <c r="H292" s="145"/>
      <c r="I292" s="145"/>
      <c r="J292" s="145"/>
      <c r="K292" s="145"/>
      <c r="L292" s="145"/>
      <c r="M292" s="145"/>
      <c r="N292" s="145"/>
      <c r="O292" s="145"/>
      <c r="P292" s="145"/>
      <c r="Q292" s="145"/>
      <c r="R292" s="145"/>
      <c r="S292" s="145"/>
      <c r="T292" s="145"/>
      <c r="U292" s="145"/>
      <c r="V292" s="145"/>
      <c r="W292" s="145"/>
      <c r="X292" s="145"/>
      <c r="Y292" s="145"/>
      <c r="Z292" s="145"/>
    </row>
    <row r="293" spans="1:26" ht="15.75" x14ac:dyDescent="0.25">
      <c r="A293" s="145"/>
      <c r="B293" s="145"/>
      <c r="C293" s="145"/>
      <c r="D293" s="145"/>
      <c r="E293" s="145"/>
      <c r="F293" s="145"/>
      <c r="G293" s="145"/>
      <c r="H293" s="145"/>
      <c r="I293" s="145"/>
      <c r="J293" s="145"/>
      <c r="K293" s="145"/>
      <c r="L293" s="145"/>
      <c r="M293" s="145"/>
      <c r="N293" s="145"/>
      <c r="O293" s="145"/>
      <c r="P293" s="145"/>
      <c r="Q293" s="145"/>
      <c r="R293" s="145"/>
      <c r="S293" s="145"/>
      <c r="T293" s="145"/>
      <c r="U293" s="145"/>
      <c r="V293" s="145"/>
      <c r="W293" s="145"/>
      <c r="X293" s="145"/>
      <c r="Y293" s="145"/>
      <c r="Z293" s="145"/>
    </row>
    <row r="294" spans="1:26" ht="15.75" x14ac:dyDescent="0.25">
      <c r="A294" s="145"/>
      <c r="B294" s="145"/>
      <c r="C294" s="145"/>
      <c r="D294" s="145"/>
      <c r="E294" s="145"/>
      <c r="F294" s="145"/>
      <c r="G294" s="145"/>
      <c r="H294" s="145"/>
      <c r="I294" s="145"/>
      <c r="J294" s="145"/>
      <c r="K294" s="145"/>
      <c r="L294" s="145"/>
      <c r="M294" s="145"/>
      <c r="N294" s="145"/>
      <c r="O294" s="145"/>
      <c r="P294" s="145"/>
      <c r="Q294" s="145"/>
      <c r="R294" s="145"/>
      <c r="S294" s="145"/>
      <c r="T294" s="145"/>
      <c r="U294" s="145"/>
      <c r="V294" s="145"/>
      <c r="W294" s="145"/>
      <c r="X294" s="145"/>
      <c r="Y294" s="145"/>
      <c r="Z294" s="145"/>
    </row>
    <row r="295" spans="1:26" ht="15.75" x14ac:dyDescent="0.25">
      <c r="A295" s="145"/>
      <c r="B295" s="145"/>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row>
    <row r="296" spans="1:26" ht="15.75" x14ac:dyDescent="0.25">
      <c r="A296" s="145"/>
      <c r="B296" s="145"/>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row>
    <row r="297" spans="1:26" ht="15.75" x14ac:dyDescent="0.25">
      <c r="A297" s="145"/>
      <c r="B297" s="145"/>
      <c r="C297" s="145"/>
      <c r="D297" s="145"/>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row>
    <row r="298" spans="1:26" ht="15.75" x14ac:dyDescent="0.25">
      <c r="A298" s="145"/>
      <c r="B298" s="145"/>
      <c r="C298" s="145"/>
      <c r="D298" s="145"/>
      <c r="E298" s="145"/>
      <c r="F298" s="145"/>
      <c r="G298" s="145"/>
      <c r="H298" s="145"/>
      <c r="I298" s="145"/>
      <c r="J298" s="145"/>
      <c r="K298" s="145"/>
      <c r="L298" s="145"/>
      <c r="M298" s="145"/>
      <c r="N298" s="145"/>
      <c r="O298" s="145"/>
      <c r="P298" s="145"/>
      <c r="Q298" s="145"/>
      <c r="R298" s="145"/>
      <c r="S298" s="145"/>
      <c r="T298" s="145"/>
      <c r="U298" s="145"/>
      <c r="V298" s="145"/>
      <c r="W298" s="145"/>
      <c r="X298" s="145"/>
      <c r="Y298" s="145"/>
      <c r="Z298" s="145"/>
    </row>
    <row r="299" spans="1:26" ht="15.75" x14ac:dyDescent="0.25">
      <c r="A299" s="145"/>
      <c r="B299" s="145"/>
      <c r="C299" s="145"/>
      <c r="D299" s="145"/>
      <c r="E299" s="145"/>
      <c r="F299" s="145"/>
      <c r="G299" s="145"/>
      <c r="H299" s="145"/>
      <c r="I299" s="145"/>
      <c r="J299" s="145"/>
      <c r="K299" s="145"/>
      <c r="L299" s="145"/>
      <c r="M299" s="145"/>
      <c r="N299" s="145"/>
      <c r="O299" s="145"/>
      <c r="P299" s="145"/>
      <c r="Q299" s="145"/>
      <c r="R299" s="145"/>
      <c r="S299" s="145"/>
      <c r="T299" s="145"/>
      <c r="U299" s="145"/>
      <c r="V299" s="145"/>
      <c r="W299" s="145"/>
      <c r="X299" s="145"/>
      <c r="Y299" s="145"/>
      <c r="Z299" s="145"/>
    </row>
    <row r="300" spans="1:26" ht="15.75" x14ac:dyDescent="0.25">
      <c r="A300" s="145"/>
      <c r="B300" s="145"/>
      <c r="C300" s="145"/>
      <c r="D300" s="145"/>
      <c r="E300" s="145"/>
      <c r="F300" s="145"/>
      <c r="G300" s="145"/>
      <c r="H300" s="145"/>
      <c r="I300" s="145"/>
      <c r="J300" s="145"/>
      <c r="K300" s="145"/>
      <c r="L300" s="145"/>
      <c r="M300" s="145"/>
      <c r="N300" s="145"/>
      <c r="O300" s="145"/>
      <c r="P300" s="145"/>
      <c r="Q300" s="145"/>
      <c r="R300" s="145"/>
      <c r="S300" s="145"/>
      <c r="T300" s="145"/>
      <c r="U300" s="145"/>
      <c r="V300" s="145"/>
      <c r="W300" s="145"/>
      <c r="X300" s="145"/>
      <c r="Y300" s="145"/>
      <c r="Z300" s="145"/>
    </row>
    <row r="301" spans="1:26" ht="15.75" x14ac:dyDescent="0.25">
      <c r="A301" s="145"/>
      <c r="B301" s="145"/>
      <c r="C301" s="145"/>
      <c r="D301" s="145"/>
      <c r="E301" s="145"/>
      <c r="F301" s="145"/>
      <c r="G301" s="145"/>
      <c r="H301" s="145"/>
      <c r="I301" s="145"/>
      <c r="J301" s="145"/>
      <c r="K301" s="145"/>
      <c r="L301" s="145"/>
      <c r="M301" s="145"/>
      <c r="N301" s="145"/>
      <c r="O301" s="145"/>
      <c r="P301" s="145"/>
      <c r="Q301" s="145"/>
      <c r="R301" s="145"/>
      <c r="S301" s="145"/>
      <c r="T301" s="145"/>
      <c r="U301" s="145"/>
      <c r="V301" s="145"/>
      <c r="W301" s="145"/>
      <c r="X301" s="145"/>
      <c r="Y301" s="145"/>
      <c r="Z301" s="145"/>
    </row>
    <row r="302" spans="1:26" ht="15.75" x14ac:dyDescent="0.25">
      <c r="A302" s="145"/>
      <c r="B302" s="145"/>
      <c r="C302" s="145"/>
      <c r="D302" s="145"/>
      <c r="E302" s="145"/>
      <c r="F302" s="145"/>
      <c r="G302" s="145"/>
      <c r="H302" s="145"/>
      <c r="I302" s="145"/>
      <c r="J302" s="145"/>
      <c r="K302" s="145"/>
      <c r="L302" s="145"/>
      <c r="M302" s="145"/>
      <c r="N302" s="145"/>
      <c r="O302" s="145"/>
      <c r="P302" s="145"/>
      <c r="Q302" s="145"/>
      <c r="R302" s="145"/>
      <c r="S302" s="145"/>
      <c r="T302" s="145"/>
      <c r="U302" s="145"/>
      <c r="V302" s="145"/>
      <c r="W302" s="145"/>
      <c r="X302" s="145"/>
      <c r="Y302" s="145"/>
      <c r="Z302" s="145"/>
    </row>
    <row r="303" spans="1:26" ht="15.75" x14ac:dyDescent="0.25">
      <c r="A303" s="145"/>
      <c r="B303" s="145"/>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row>
    <row r="304" spans="1:26" ht="15.75" x14ac:dyDescent="0.25">
      <c r="A304" s="145"/>
      <c r="B304" s="145"/>
      <c r="C304" s="145"/>
      <c r="D304" s="145"/>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row>
    <row r="305" spans="1:26" ht="15.75" x14ac:dyDescent="0.25">
      <c r="A305" s="145"/>
      <c r="B305" s="145"/>
      <c r="C305" s="145"/>
      <c r="D305" s="145"/>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5"/>
    </row>
    <row r="306" spans="1:26" ht="15.75" x14ac:dyDescent="0.25">
      <c r="A306" s="145"/>
      <c r="B306" s="145"/>
      <c r="C306" s="145"/>
      <c r="D306" s="145"/>
      <c r="E306" s="145"/>
      <c r="F306" s="145"/>
      <c r="G306" s="145"/>
      <c r="H306" s="145"/>
      <c r="I306" s="145"/>
      <c r="J306" s="145"/>
      <c r="K306" s="145"/>
      <c r="L306" s="145"/>
      <c r="M306" s="145"/>
      <c r="N306" s="145"/>
      <c r="O306" s="145"/>
      <c r="P306" s="145"/>
      <c r="Q306" s="145"/>
      <c r="R306" s="145"/>
      <c r="S306" s="145"/>
      <c r="T306" s="145"/>
      <c r="U306" s="145"/>
      <c r="V306" s="145"/>
      <c r="W306" s="145"/>
      <c r="X306" s="145"/>
      <c r="Y306" s="145"/>
      <c r="Z306" s="145"/>
    </row>
    <row r="307" spans="1:26" ht="15.75" x14ac:dyDescent="0.25">
      <c r="A307" s="145"/>
      <c r="B307" s="145"/>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row>
    <row r="308" spans="1:26" ht="15.75" x14ac:dyDescent="0.25">
      <c r="A308" s="145"/>
      <c r="B308" s="145"/>
      <c r="C308" s="145"/>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row>
    <row r="309" spans="1:26" ht="15.75" x14ac:dyDescent="0.25">
      <c r="A309" s="145"/>
      <c r="B309" s="145"/>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row>
    <row r="310" spans="1:26" ht="15.75" x14ac:dyDescent="0.25">
      <c r="A310" s="145"/>
      <c r="B310" s="145"/>
      <c r="C310" s="145"/>
      <c r="D310" s="145"/>
      <c r="E310" s="145"/>
      <c r="F310" s="145"/>
      <c r="G310" s="145"/>
      <c r="H310" s="145"/>
      <c r="I310" s="145"/>
      <c r="J310" s="145"/>
      <c r="K310" s="145"/>
      <c r="L310" s="145"/>
      <c r="M310" s="145"/>
      <c r="N310" s="145"/>
      <c r="O310" s="145"/>
      <c r="P310" s="145"/>
      <c r="Q310" s="145"/>
      <c r="R310" s="145"/>
      <c r="S310" s="145"/>
      <c r="T310" s="145"/>
      <c r="U310" s="145"/>
      <c r="V310" s="145"/>
      <c r="W310" s="145"/>
      <c r="X310" s="145"/>
      <c r="Y310" s="145"/>
      <c r="Z310" s="145"/>
    </row>
    <row r="311" spans="1:26" ht="15.75" x14ac:dyDescent="0.25">
      <c r="A311" s="145"/>
      <c r="B311" s="145"/>
      <c r="C311" s="145"/>
      <c r="D311" s="145"/>
      <c r="E311" s="145"/>
      <c r="F311" s="145"/>
      <c r="G311" s="145"/>
      <c r="H311" s="145"/>
      <c r="I311" s="145"/>
      <c r="J311" s="145"/>
      <c r="K311" s="145"/>
      <c r="L311" s="145"/>
      <c r="M311" s="145"/>
      <c r="N311" s="145"/>
      <c r="O311" s="145"/>
      <c r="P311" s="145"/>
      <c r="Q311" s="145"/>
      <c r="R311" s="145"/>
      <c r="S311" s="145"/>
      <c r="T311" s="145"/>
      <c r="U311" s="145"/>
      <c r="V311" s="145"/>
      <c r="W311" s="145"/>
      <c r="X311" s="145"/>
      <c r="Y311" s="145"/>
      <c r="Z311" s="145"/>
    </row>
    <row r="312" spans="1:26" ht="15.75" x14ac:dyDescent="0.25">
      <c r="A312" s="145"/>
      <c r="B312" s="145"/>
      <c r="C312" s="145"/>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row>
    <row r="313" spans="1:26" ht="15.75" x14ac:dyDescent="0.25">
      <c r="A313" s="145"/>
      <c r="B313" s="145"/>
      <c r="C313" s="145"/>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row>
    <row r="314" spans="1:26" ht="15.75" x14ac:dyDescent="0.25">
      <c r="A314" s="145"/>
      <c r="B314" s="145"/>
      <c r="C314" s="145"/>
      <c r="D314" s="145"/>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5"/>
    </row>
    <row r="315" spans="1:26" ht="15.75" x14ac:dyDescent="0.25">
      <c r="A315" s="145"/>
      <c r="B315" s="145"/>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row>
    <row r="316" spans="1:26" ht="15.75" x14ac:dyDescent="0.25">
      <c r="A316" s="145"/>
      <c r="B316" s="145"/>
      <c r="C316" s="145"/>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row>
    <row r="317" spans="1:26" ht="15.75" x14ac:dyDescent="0.25">
      <c r="A317" s="145"/>
      <c r="B317" s="145"/>
      <c r="C317" s="145"/>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row>
    <row r="318" spans="1:26" ht="15.75" x14ac:dyDescent="0.25">
      <c r="A318" s="145"/>
      <c r="B318" s="145"/>
      <c r="C318" s="145"/>
      <c r="D318" s="145"/>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row>
    <row r="319" spans="1:26" ht="15.75" x14ac:dyDescent="0.25">
      <c r="A319" s="145"/>
      <c r="B319" s="145"/>
      <c r="C319" s="145"/>
      <c r="D319" s="145"/>
      <c r="E319" s="145"/>
      <c r="F319" s="145"/>
      <c r="G319" s="145"/>
      <c r="H319" s="145"/>
      <c r="I319" s="145"/>
      <c r="J319" s="145"/>
      <c r="K319" s="145"/>
      <c r="L319" s="145"/>
      <c r="M319" s="145"/>
      <c r="N319" s="145"/>
      <c r="O319" s="145"/>
      <c r="P319" s="145"/>
      <c r="Q319" s="145"/>
      <c r="R319" s="145"/>
      <c r="S319" s="145"/>
      <c r="T319" s="145"/>
      <c r="U319" s="145"/>
      <c r="V319" s="145"/>
      <c r="W319" s="145"/>
      <c r="X319" s="145"/>
      <c r="Y319" s="145"/>
      <c r="Z319" s="145"/>
    </row>
    <row r="320" spans="1:26" ht="15.75" x14ac:dyDescent="0.25">
      <c r="A320" s="145"/>
      <c r="B320" s="145"/>
      <c r="C320" s="145"/>
      <c r="D320" s="145"/>
      <c r="E320" s="145"/>
      <c r="F320" s="145"/>
      <c r="G320" s="145"/>
      <c r="H320" s="145"/>
      <c r="I320" s="145"/>
      <c r="J320" s="145"/>
      <c r="K320" s="145"/>
      <c r="L320" s="145"/>
      <c r="M320" s="145"/>
      <c r="N320" s="145"/>
      <c r="O320" s="145"/>
      <c r="P320" s="145"/>
      <c r="Q320" s="145"/>
      <c r="R320" s="145"/>
      <c r="S320" s="145"/>
      <c r="T320" s="145"/>
      <c r="U320" s="145"/>
      <c r="V320" s="145"/>
      <c r="W320" s="145"/>
      <c r="X320" s="145"/>
      <c r="Y320" s="145"/>
      <c r="Z320" s="145"/>
    </row>
    <row r="321" spans="1:26" ht="15.75" x14ac:dyDescent="0.25">
      <c r="A321" s="145"/>
      <c r="B321" s="145"/>
      <c r="C321" s="145"/>
      <c r="D321" s="145"/>
      <c r="E321" s="145"/>
      <c r="F321" s="145"/>
      <c r="G321" s="145"/>
      <c r="H321" s="145"/>
      <c r="I321" s="145"/>
      <c r="J321" s="145"/>
      <c r="K321" s="145"/>
      <c r="L321" s="145"/>
      <c r="M321" s="145"/>
      <c r="N321" s="145"/>
      <c r="O321" s="145"/>
      <c r="P321" s="145"/>
      <c r="Q321" s="145"/>
      <c r="R321" s="145"/>
      <c r="S321" s="145"/>
      <c r="T321" s="145"/>
      <c r="U321" s="145"/>
      <c r="V321" s="145"/>
      <c r="W321" s="145"/>
      <c r="X321" s="145"/>
      <c r="Y321" s="145"/>
      <c r="Z321" s="145"/>
    </row>
    <row r="322" spans="1:26" ht="15.75" x14ac:dyDescent="0.25">
      <c r="A322" s="145"/>
      <c r="B322" s="145"/>
      <c r="C322" s="145"/>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row>
    <row r="323" spans="1:26" ht="15.75" x14ac:dyDescent="0.25">
      <c r="A323" s="145"/>
      <c r="B323" s="145"/>
      <c r="C323" s="145"/>
      <c r="D323" s="145"/>
      <c r="E323" s="145"/>
      <c r="F323" s="145"/>
      <c r="G323" s="145"/>
      <c r="H323" s="145"/>
      <c r="I323" s="145"/>
      <c r="J323" s="145"/>
      <c r="K323" s="145"/>
      <c r="L323" s="145"/>
      <c r="M323" s="145"/>
      <c r="N323" s="145"/>
      <c r="O323" s="145"/>
      <c r="P323" s="145"/>
      <c r="Q323" s="145"/>
      <c r="R323" s="145"/>
      <c r="S323" s="145"/>
      <c r="T323" s="145"/>
      <c r="U323" s="145"/>
      <c r="V323" s="145"/>
      <c r="W323" s="145"/>
      <c r="X323" s="145"/>
      <c r="Y323" s="145"/>
      <c r="Z323" s="145"/>
    </row>
    <row r="324" spans="1:26" ht="15.75" x14ac:dyDescent="0.25">
      <c r="A324" s="145"/>
      <c r="B324" s="145"/>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145"/>
      <c r="Z324" s="145"/>
    </row>
    <row r="325" spans="1:26" ht="15.75" x14ac:dyDescent="0.25">
      <c r="A325" s="145"/>
      <c r="B325" s="145"/>
      <c r="C325" s="145"/>
      <c r="D325" s="145"/>
      <c r="E325" s="145"/>
      <c r="F325" s="145"/>
      <c r="G325" s="145"/>
      <c r="H325" s="145"/>
      <c r="I325" s="145"/>
      <c r="J325" s="145"/>
      <c r="K325" s="145"/>
      <c r="L325" s="145"/>
      <c r="M325" s="145"/>
      <c r="N325" s="145"/>
      <c r="O325" s="145"/>
      <c r="P325" s="145"/>
      <c r="Q325" s="145"/>
      <c r="R325" s="145"/>
      <c r="S325" s="145"/>
      <c r="T325" s="145"/>
      <c r="U325" s="145"/>
      <c r="V325" s="145"/>
      <c r="W325" s="145"/>
      <c r="X325" s="145"/>
      <c r="Y325" s="145"/>
      <c r="Z325" s="145"/>
    </row>
    <row r="326" spans="1:26" ht="15.75" x14ac:dyDescent="0.25">
      <c r="A326" s="145"/>
      <c r="B326" s="145"/>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row>
    <row r="327" spans="1:26" ht="15.75" x14ac:dyDescent="0.25">
      <c r="A327" s="145"/>
      <c r="B327" s="145"/>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row>
    <row r="328" spans="1:26" ht="15.75" x14ac:dyDescent="0.25">
      <c r="A328" s="145"/>
      <c r="B328" s="145"/>
      <c r="C328" s="145"/>
      <c r="D328" s="145"/>
      <c r="E328" s="145"/>
      <c r="F328" s="145"/>
      <c r="G328" s="145"/>
      <c r="H328" s="145"/>
      <c r="I328" s="145"/>
      <c r="J328" s="145"/>
      <c r="K328" s="145"/>
      <c r="L328" s="145"/>
      <c r="M328" s="145"/>
      <c r="N328" s="145"/>
      <c r="O328" s="145"/>
      <c r="P328" s="145"/>
      <c r="Q328" s="145"/>
      <c r="R328" s="145"/>
      <c r="S328" s="145"/>
      <c r="T328" s="145"/>
      <c r="U328" s="145"/>
      <c r="V328" s="145"/>
      <c r="W328" s="145"/>
      <c r="X328" s="145"/>
      <c r="Y328" s="145"/>
      <c r="Z328" s="145"/>
    </row>
    <row r="329" spans="1:26" ht="15.75" x14ac:dyDescent="0.25">
      <c r="A329" s="145"/>
      <c r="B329" s="145"/>
      <c r="C329" s="145"/>
      <c r="D329" s="145"/>
      <c r="E329" s="145"/>
      <c r="F329" s="145"/>
      <c r="G329" s="145"/>
      <c r="H329" s="145"/>
      <c r="I329" s="145"/>
      <c r="J329" s="145"/>
      <c r="K329" s="145"/>
      <c r="L329" s="145"/>
      <c r="M329" s="145"/>
      <c r="N329" s="145"/>
      <c r="O329" s="145"/>
      <c r="P329" s="145"/>
      <c r="Q329" s="145"/>
      <c r="R329" s="145"/>
      <c r="S329" s="145"/>
      <c r="T329" s="145"/>
      <c r="U329" s="145"/>
      <c r="V329" s="145"/>
      <c r="W329" s="145"/>
      <c r="X329" s="145"/>
      <c r="Y329" s="145"/>
      <c r="Z329" s="145"/>
    </row>
    <row r="330" spans="1:26" ht="15.75" x14ac:dyDescent="0.25">
      <c r="A330" s="145"/>
      <c r="B330" s="145"/>
      <c r="C330" s="145"/>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row>
    <row r="331" spans="1:26" ht="15.75" x14ac:dyDescent="0.25">
      <c r="A331" s="145"/>
      <c r="B331" s="145"/>
      <c r="C331" s="145"/>
      <c r="D331" s="145"/>
      <c r="E331" s="145"/>
      <c r="F331" s="145"/>
      <c r="G331" s="145"/>
      <c r="H331" s="145"/>
      <c r="I331" s="145"/>
      <c r="J331" s="145"/>
      <c r="K331" s="145"/>
      <c r="L331" s="145"/>
      <c r="M331" s="145"/>
      <c r="N331" s="145"/>
      <c r="O331" s="145"/>
      <c r="P331" s="145"/>
      <c r="Q331" s="145"/>
      <c r="R331" s="145"/>
      <c r="S331" s="145"/>
      <c r="T331" s="145"/>
      <c r="U331" s="145"/>
      <c r="V331" s="145"/>
      <c r="W331" s="145"/>
      <c r="X331" s="145"/>
      <c r="Y331" s="145"/>
      <c r="Z331" s="145"/>
    </row>
    <row r="332" spans="1:26" ht="15.75" x14ac:dyDescent="0.25">
      <c r="A332" s="145"/>
      <c r="B332" s="145"/>
      <c r="C332" s="145"/>
      <c r="D332" s="145"/>
      <c r="E332" s="145"/>
      <c r="F332" s="145"/>
      <c r="G332" s="145"/>
      <c r="H332" s="145"/>
      <c r="I332" s="145"/>
      <c r="J332" s="145"/>
      <c r="K332" s="145"/>
      <c r="L332" s="145"/>
      <c r="M332" s="145"/>
      <c r="N332" s="145"/>
      <c r="O332" s="145"/>
      <c r="P332" s="145"/>
      <c r="Q332" s="145"/>
      <c r="R332" s="145"/>
      <c r="S332" s="145"/>
      <c r="T332" s="145"/>
      <c r="U332" s="145"/>
      <c r="V332" s="145"/>
      <c r="W332" s="145"/>
      <c r="X332" s="145"/>
      <c r="Y332" s="145"/>
      <c r="Z332" s="145"/>
    </row>
    <row r="333" spans="1:26" ht="15.75" x14ac:dyDescent="0.25">
      <c r="A333" s="145"/>
      <c r="B333" s="145"/>
      <c r="C333" s="145"/>
      <c r="D333" s="145"/>
      <c r="E333" s="145"/>
      <c r="F333" s="145"/>
      <c r="G333" s="145"/>
      <c r="H333" s="145"/>
      <c r="I333" s="145"/>
      <c r="J333" s="145"/>
      <c r="K333" s="145"/>
      <c r="L333" s="145"/>
      <c r="M333" s="145"/>
      <c r="N333" s="145"/>
      <c r="O333" s="145"/>
      <c r="P333" s="145"/>
      <c r="Q333" s="145"/>
      <c r="R333" s="145"/>
      <c r="S333" s="145"/>
      <c r="T333" s="145"/>
      <c r="U333" s="145"/>
      <c r="V333" s="145"/>
      <c r="W333" s="145"/>
      <c r="X333" s="145"/>
      <c r="Y333" s="145"/>
      <c r="Z333" s="145"/>
    </row>
    <row r="334" spans="1:26" ht="15.75" x14ac:dyDescent="0.25">
      <c r="A334" s="145"/>
      <c r="B334" s="145"/>
      <c r="C334" s="145"/>
      <c r="D334" s="145"/>
      <c r="E334" s="145"/>
      <c r="F334" s="145"/>
      <c r="G334" s="145"/>
      <c r="H334" s="145"/>
      <c r="I334" s="145"/>
      <c r="J334" s="145"/>
      <c r="K334" s="145"/>
      <c r="L334" s="145"/>
      <c r="M334" s="145"/>
      <c r="N334" s="145"/>
      <c r="O334" s="145"/>
      <c r="P334" s="145"/>
      <c r="Q334" s="145"/>
      <c r="R334" s="145"/>
      <c r="S334" s="145"/>
      <c r="T334" s="145"/>
      <c r="U334" s="145"/>
      <c r="V334" s="145"/>
      <c r="W334" s="145"/>
      <c r="X334" s="145"/>
      <c r="Y334" s="145"/>
      <c r="Z334" s="145"/>
    </row>
    <row r="335" spans="1:26" ht="15.75" x14ac:dyDescent="0.25">
      <c r="A335" s="145"/>
      <c r="B335" s="145"/>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row>
    <row r="336" spans="1:26" ht="15.75" x14ac:dyDescent="0.25">
      <c r="A336" s="145"/>
      <c r="B336" s="145"/>
      <c r="C336" s="145"/>
      <c r="D336" s="145"/>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row>
    <row r="337" spans="1:26" ht="15.75" x14ac:dyDescent="0.25">
      <c r="A337" s="145"/>
      <c r="B337" s="145"/>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row>
    <row r="338" spans="1:26" ht="15.75" x14ac:dyDescent="0.25">
      <c r="A338" s="145"/>
      <c r="B338" s="145"/>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row>
    <row r="339" spans="1:26" ht="15.75" x14ac:dyDescent="0.25">
      <c r="A339" s="145"/>
      <c r="B339" s="145"/>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row>
    <row r="340" spans="1:26" ht="15.75" x14ac:dyDescent="0.25">
      <c r="A340" s="145"/>
      <c r="B340" s="145"/>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row>
    <row r="341" spans="1:26" ht="15.75" x14ac:dyDescent="0.25">
      <c r="A341" s="145"/>
      <c r="B341" s="145"/>
      <c r="C341" s="145"/>
      <c r="D341" s="145"/>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row>
    <row r="342" spans="1:26" ht="15.75" x14ac:dyDescent="0.25">
      <c r="A342" s="145"/>
      <c r="B342" s="145"/>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row>
    <row r="343" spans="1:26" ht="15.75" x14ac:dyDescent="0.25">
      <c r="A343" s="145"/>
      <c r="B343" s="145"/>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row>
    <row r="344" spans="1:26" ht="15.75" x14ac:dyDescent="0.25">
      <c r="A344" s="145"/>
      <c r="B344" s="145"/>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row>
    <row r="345" spans="1:26" ht="15.75" x14ac:dyDescent="0.25">
      <c r="A345" s="145"/>
      <c r="B345" s="145"/>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row>
    <row r="346" spans="1:26" ht="15.75" x14ac:dyDescent="0.25">
      <c r="A346" s="145"/>
      <c r="B346" s="145"/>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row>
    <row r="347" spans="1:26" ht="15.75" x14ac:dyDescent="0.25">
      <c r="A347" s="145"/>
      <c r="B347" s="145"/>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row>
    <row r="348" spans="1:26" ht="15.75" x14ac:dyDescent="0.25">
      <c r="A348" s="145"/>
      <c r="B348" s="145"/>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row>
    <row r="349" spans="1:26" ht="15.75" x14ac:dyDescent="0.25">
      <c r="A349" s="145"/>
      <c r="B349" s="145"/>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row>
    <row r="350" spans="1:26" ht="15.75" x14ac:dyDescent="0.25">
      <c r="A350" s="145"/>
      <c r="B350" s="145"/>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row>
    <row r="351" spans="1:26" ht="15.75" x14ac:dyDescent="0.25">
      <c r="A351" s="145"/>
      <c r="B351" s="145"/>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row>
    <row r="352" spans="1:26" ht="15.75" x14ac:dyDescent="0.25">
      <c r="A352" s="145"/>
      <c r="B352" s="145"/>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row>
    <row r="353" spans="1:26" ht="15.75" x14ac:dyDescent="0.25">
      <c r="A353" s="145"/>
      <c r="B353" s="145"/>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row>
    <row r="354" spans="1:26" ht="15.75" x14ac:dyDescent="0.25">
      <c r="A354" s="145"/>
      <c r="B354" s="145"/>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5"/>
      <c r="Z354" s="145"/>
    </row>
    <row r="355" spans="1:26" ht="15.75" x14ac:dyDescent="0.25">
      <c r="A355" s="145"/>
      <c r="B355" s="145"/>
      <c r="C355" s="145"/>
      <c r="D355" s="145"/>
      <c r="E355" s="145"/>
      <c r="F355" s="145"/>
      <c r="G355" s="145"/>
      <c r="H355" s="145"/>
      <c r="I355" s="145"/>
      <c r="J355" s="145"/>
      <c r="K355" s="145"/>
      <c r="L355" s="145"/>
      <c r="M355" s="145"/>
      <c r="N355" s="145"/>
      <c r="O355" s="145"/>
      <c r="P355" s="145"/>
      <c r="Q355" s="145"/>
      <c r="R355" s="145"/>
      <c r="S355" s="145"/>
      <c r="T355" s="145"/>
      <c r="U355" s="145"/>
      <c r="V355" s="145"/>
      <c r="W355" s="145"/>
      <c r="X355" s="145"/>
      <c r="Y355" s="145"/>
      <c r="Z355" s="145"/>
    </row>
    <row r="356" spans="1:26" ht="15.75" x14ac:dyDescent="0.25">
      <c r="A356" s="145"/>
      <c r="B356" s="145"/>
      <c r="C356" s="145"/>
      <c r="D356" s="145"/>
      <c r="E356" s="145"/>
      <c r="F356" s="145"/>
      <c r="G356" s="145"/>
      <c r="H356" s="145"/>
      <c r="I356" s="145"/>
      <c r="J356" s="145"/>
      <c r="K356" s="145"/>
      <c r="L356" s="145"/>
      <c r="M356" s="145"/>
      <c r="N356" s="145"/>
      <c r="O356" s="145"/>
      <c r="P356" s="145"/>
      <c r="Q356" s="145"/>
      <c r="R356" s="145"/>
      <c r="S356" s="145"/>
      <c r="T356" s="145"/>
      <c r="U356" s="145"/>
      <c r="V356" s="145"/>
      <c r="W356" s="145"/>
      <c r="X356" s="145"/>
      <c r="Y356" s="145"/>
      <c r="Z356" s="145"/>
    </row>
    <row r="357" spans="1:26" ht="15.75" x14ac:dyDescent="0.25">
      <c r="A357" s="145"/>
      <c r="B357" s="145"/>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row>
    <row r="358" spans="1:26" ht="15.75" x14ac:dyDescent="0.25">
      <c r="A358" s="145"/>
      <c r="B358" s="145"/>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row>
    <row r="359" spans="1:26" ht="15.75" x14ac:dyDescent="0.25">
      <c r="A359" s="145"/>
      <c r="B359" s="145"/>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c r="Y359" s="145"/>
      <c r="Z359" s="145"/>
    </row>
    <row r="360" spans="1:26" ht="15.75" x14ac:dyDescent="0.25">
      <c r="A360" s="145"/>
      <c r="B360" s="145"/>
      <c r="C360" s="145"/>
      <c r="D360" s="145"/>
      <c r="E360" s="145"/>
      <c r="F360" s="145"/>
      <c r="G360" s="145"/>
      <c r="H360" s="145"/>
      <c r="I360" s="145"/>
      <c r="J360" s="145"/>
      <c r="K360" s="145"/>
      <c r="L360" s="145"/>
      <c r="M360" s="145"/>
      <c r="N360" s="145"/>
      <c r="O360" s="145"/>
      <c r="P360" s="145"/>
      <c r="Q360" s="145"/>
      <c r="R360" s="145"/>
      <c r="S360" s="145"/>
      <c r="T360" s="145"/>
      <c r="U360" s="145"/>
      <c r="V360" s="145"/>
      <c r="W360" s="145"/>
      <c r="X360" s="145"/>
      <c r="Y360" s="145"/>
      <c r="Z360" s="145"/>
    </row>
    <row r="361" spans="1:26" ht="15.75" x14ac:dyDescent="0.25">
      <c r="A361" s="145"/>
      <c r="B361" s="145"/>
      <c r="C361" s="145"/>
      <c r="D361" s="145"/>
      <c r="E361" s="145"/>
      <c r="F361" s="145"/>
      <c r="G361" s="145"/>
      <c r="H361" s="145"/>
      <c r="I361" s="145"/>
      <c r="J361" s="145"/>
      <c r="K361" s="145"/>
      <c r="L361" s="145"/>
      <c r="M361" s="145"/>
      <c r="N361" s="145"/>
      <c r="O361" s="145"/>
      <c r="P361" s="145"/>
      <c r="Q361" s="145"/>
      <c r="R361" s="145"/>
      <c r="S361" s="145"/>
      <c r="T361" s="145"/>
      <c r="U361" s="145"/>
      <c r="V361" s="145"/>
      <c r="W361" s="145"/>
      <c r="X361" s="145"/>
      <c r="Y361" s="145"/>
      <c r="Z361" s="145"/>
    </row>
    <row r="362" spans="1:26" ht="15.75" x14ac:dyDescent="0.25">
      <c r="A362" s="145"/>
      <c r="B362" s="145"/>
      <c r="C362" s="145"/>
      <c r="D362" s="145"/>
      <c r="E362" s="145"/>
      <c r="F362" s="145"/>
      <c r="G362" s="145"/>
      <c r="H362" s="145"/>
      <c r="I362" s="145"/>
      <c r="J362" s="145"/>
      <c r="K362" s="145"/>
      <c r="L362" s="145"/>
      <c r="M362" s="145"/>
      <c r="N362" s="145"/>
      <c r="O362" s="145"/>
      <c r="P362" s="145"/>
      <c r="Q362" s="145"/>
      <c r="R362" s="145"/>
      <c r="S362" s="145"/>
      <c r="T362" s="145"/>
      <c r="U362" s="145"/>
      <c r="V362" s="145"/>
      <c r="W362" s="145"/>
      <c r="X362" s="145"/>
      <c r="Y362" s="145"/>
      <c r="Z362" s="145"/>
    </row>
    <row r="363" spans="1:26" ht="15.75" x14ac:dyDescent="0.25">
      <c r="A363" s="145"/>
      <c r="B363" s="145"/>
      <c r="C363" s="145"/>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5"/>
      <c r="Z363" s="145"/>
    </row>
    <row r="364" spans="1:26" ht="15.75" x14ac:dyDescent="0.25">
      <c r="A364" s="145"/>
      <c r="B364" s="145"/>
      <c r="C364" s="145"/>
      <c r="D364" s="145"/>
      <c r="E364" s="145"/>
      <c r="F364" s="145"/>
      <c r="G364" s="145"/>
      <c r="H364" s="145"/>
      <c r="I364" s="145"/>
      <c r="J364" s="145"/>
      <c r="K364" s="145"/>
      <c r="L364" s="145"/>
      <c r="M364" s="145"/>
      <c r="N364" s="145"/>
      <c r="O364" s="145"/>
      <c r="P364" s="145"/>
      <c r="Q364" s="145"/>
      <c r="R364" s="145"/>
      <c r="S364" s="145"/>
      <c r="T364" s="145"/>
      <c r="U364" s="145"/>
      <c r="V364" s="145"/>
      <c r="W364" s="145"/>
      <c r="X364" s="145"/>
      <c r="Y364" s="145"/>
      <c r="Z364" s="145"/>
    </row>
    <row r="365" spans="1:26" ht="15.75" x14ac:dyDescent="0.25">
      <c r="A365" s="145"/>
      <c r="B365" s="145"/>
      <c r="C365" s="145"/>
      <c r="D365" s="145"/>
      <c r="E365" s="145"/>
      <c r="F365" s="145"/>
      <c r="G365" s="145"/>
      <c r="H365" s="145"/>
      <c r="I365" s="145"/>
      <c r="J365" s="145"/>
      <c r="K365" s="145"/>
      <c r="L365" s="145"/>
      <c r="M365" s="145"/>
      <c r="N365" s="145"/>
      <c r="O365" s="145"/>
      <c r="P365" s="145"/>
      <c r="Q365" s="145"/>
      <c r="R365" s="145"/>
      <c r="S365" s="145"/>
      <c r="T365" s="145"/>
      <c r="U365" s="145"/>
      <c r="V365" s="145"/>
      <c r="W365" s="145"/>
      <c r="X365" s="145"/>
      <c r="Y365" s="145"/>
      <c r="Z365" s="145"/>
    </row>
    <row r="366" spans="1:26" ht="15.75" x14ac:dyDescent="0.25">
      <c r="A366" s="145"/>
      <c r="B366" s="145"/>
      <c r="C366" s="145"/>
      <c r="D366" s="145"/>
      <c r="E366" s="145"/>
      <c r="F366" s="145"/>
      <c r="G366" s="145"/>
      <c r="H366" s="145"/>
      <c r="I366" s="145"/>
      <c r="J366" s="145"/>
      <c r="K366" s="145"/>
      <c r="L366" s="145"/>
      <c r="M366" s="145"/>
      <c r="N366" s="145"/>
      <c r="O366" s="145"/>
      <c r="P366" s="145"/>
      <c r="Q366" s="145"/>
      <c r="R366" s="145"/>
      <c r="S366" s="145"/>
      <c r="T366" s="145"/>
      <c r="U366" s="145"/>
      <c r="V366" s="145"/>
      <c r="W366" s="145"/>
      <c r="X366" s="145"/>
      <c r="Y366" s="145"/>
      <c r="Z366" s="145"/>
    </row>
    <row r="367" spans="1:26" ht="15.75" x14ac:dyDescent="0.25">
      <c r="A367" s="145"/>
      <c r="B367" s="145"/>
      <c r="C367" s="145"/>
      <c r="D367" s="145"/>
      <c r="E367" s="145"/>
      <c r="F367" s="145"/>
      <c r="G367" s="145"/>
      <c r="H367" s="145"/>
      <c r="I367" s="145"/>
      <c r="J367" s="145"/>
      <c r="K367" s="145"/>
      <c r="L367" s="145"/>
      <c r="M367" s="145"/>
      <c r="N367" s="145"/>
      <c r="O367" s="145"/>
      <c r="P367" s="145"/>
      <c r="Q367" s="145"/>
      <c r="R367" s="145"/>
      <c r="S367" s="145"/>
      <c r="T367" s="145"/>
      <c r="U367" s="145"/>
      <c r="V367" s="145"/>
      <c r="W367" s="145"/>
      <c r="X367" s="145"/>
      <c r="Y367" s="145"/>
      <c r="Z367" s="145"/>
    </row>
    <row r="368" spans="1:26" ht="15.75" x14ac:dyDescent="0.25">
      <c r="A368" s="145"/>
      <c r="B368" s="145"/>
      <c r="C368" s="145"/>
      <c r="D368" s="145"/>
      <c r="E368" s="145"/>
      <c r="F368" s="145"/>
      <c r="G368" s="145"/>
      <c r="H368" s="145"/>
      <c r="I368" s="145"/>
      <c r="J368" s="145"/>
      <c r="K368" s="145"/>
      <c r="L368" s="145"/>
      <c r="M368" s="145"/>
      <c r="N368" s="145"/>
      <c r="O368" s="145"/>
      <c r="P368" s="145"/>
      <c r="Q368" s="145"/>
      <c r="R368" s="145"/>
      <c r="S368" s="145"/>
      <c r="T368" s="145"/>
      <c r="U368" s="145"/>
      <c r="V368" s="145"/>
      <c r="W368" s="145"/>
      <c r="X368" s="145"/>
      <c r="Y368" s="145"/>
      <c r="Z368" s="145"/>
    </row>
    <row r="369" spans="1:26" ht="15.75" x14ac:dyDescent="0.25">
      <c r="A369" s="145"/>
      <c r="B369" s="145"/>
      <c r="C369" s="145"/>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5"/>
      <c r="Z369" s="145"/>
    </row>
    <row r="370" spans="1:26" ht="15.75" x14ac:dyDescent="0.25">
      <c r="A370" s="145"/>
      <c r="B370" s="145"/>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row>
    <row r="371" spans="1:26" ht="15.75" x14ac:dyDescent="0.25">
      <c r="A371" s="145"/>
      <c r="B371" s="145"/>
      <c r="C371" s="145"/>
      <c r="D371" s="145"/>
      <c r="E371" s="145"/>
      <c r="F371" s="145"/>
      <c r="G371" s="145"/>
      <c r="H371" s="145"/>
      <c r="I371" s="145"/>
      <c r="J371" s="145"/>
      <c r="K371" s="145"/>
      <c r="L371" s="145"/>
      <c r="M371" s="145"/>
      <c r="N371" s="145"/>
      <c r="O371" s="145"/>
      <c r="P371" s="145"/>
      <c r="Q371" s="145"/>
      <c r="R371" s="145"/>
      <c r="S371" s="145"/>
      <c r="T371" s="145"/>
      <c r="U371" s="145"/>
      <c r="V371" s="145"/>
      <c r="W371" s="145"/>
      <c r="X371" s="145"/>
      <c r="Y371" s="145"/>
      <c r="Z371" s="145"/>
    </row>
    <row r="372" spans="1:26" ht="15.75" x14ac:dyDescent="0.25">
      <c r="A372" s="145"/>
      <c r="B372" s="145"/>
      <c r="C372" s="145"/>
      <c r="D372" s="145"/>
      <c r="E372" s="145"/>
      <c r="F372" s="145"/>
      <c r="G372" s="145"/>
      <c r="H372" s="145"/>
      <c r="I372" s="145"/>
      <c r="J372" s="145"/>
      <c r="K372" s="145"/>
      <c r="L372" s="145"/>
      <c r="M372" s="145"/>
      <c r="N372" s="145"/>
      <c r="O372" s="145"/>
      <c r="P372" s="145"/>
      <c r="Q372" s="145"/>
      <c r="R372" s="145"/>
      <c r="S372" s="145"/>
      <c r="T372" s="145"/>
      <c r="U372" s="145"/>
      <c r="V372" s="145"/>
      <c r="W372" s="145"/>
      <c r="X372" s="145"/>
      <c r="Y372" s="145"/>
      <c r="Z372" s="145"/>
    </row>
    <row r="373" spans="1:26" ht="15.75" x14ac:dyDescent="0.25">
      <c r="A373" s="145"/>
      <c r="B373" s="145"/>
      <c r="C373" s="145"/>
      <c r="D373" s="145"/>
      <c r="E373" s="145"/>
      <c r="F373" s="145"/>
      <c r="G373" s="145"/>
      <c r="H373" s="145"/>
      <c r="I373" s="145"/>
      <c r="J373" s="145"/>
      <c r="K373" s="145"/>
      <c r="L373" s="145"/>
      <c r="M373" s="145"/>
      <c r="N373" s="145"/>
      <c r="O373" s="145"/>
      <c r="P373" s="145"/>
      <c r="Q373" s="145"/>
      <c r="R373" s="145"/>
      <c r="S373" s="145"/>
      <c r="T373" s="145"/>
      <c r="U373" s="145"/>
      <c r="V373" s="145"/>
      <c r="W373" s="145"/>
      <c r="X373" s="145"/>
      <c r="Y373" s="145"/>
      <c r="Z373" s="145"/>
    </row>
    <row r="374" spans="1:26" ht="15.75" x14ac:dyDescent="0.25">
      <c r="A374" s="145"/>
      <c r="B374" s="145"/>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5"/>
      <c r="Z374" s="145"/>
    </row>
    <row r="375" spans="1:26" ht="15.75" x14ac:dyDescent="0.25">
      <c r="A375" s="145"/>
      <c r="B375" s="145"/>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5"/>
      <c r="Z375" s="145"/>
    </row>
    <row r="376" spans="1:26" ht="15.75" x14ac:dyDescent="0.25">
      <c r="A376" s="145"/>
      <c r="B376" s="145"/>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row>
    <row r="377" spans="1:26" ht="15.75" x14ac:dyDescent="0.25">
      <c r="A377" s="145"/>
      <c r="B377" s="145"/>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row>
    <row r="378" spans="1:26" ht="15.75" x14ac:dyDescent="0.25">
      <c r="A378" s="145"/>
      <c r="B378" s="145"/>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row>
    <row r="379" spans="1:26" ht="15.75" x14ac:dyDescent="0.25">
      <c r="A379" s="145"/>
      <c r="B379" s="145"/>
      <c r="C379" s="145"/>
      <c r="D379" s="145"/>
      <c r="E379" s="145"/>
      <c r="F379" s="145"/>
      <c r="G379" s="145"/>
      <c r="H379" s="145"/>
      <c r="I379" s="145"/>
      <c r="J379" s="145"/>
      <c r="K379" s="145"/>
      <c r="L379" s="145"/>
      <c r="M379" s="145"/>
      <c r="N379" s="145"/>
      <c r="O379" s="145"/>
      <c r="P379" s="145"/>
      <c r="Q379" s="145"/>
      <c r="R379" s="145"/>
      <c r="S379" s="145"/>
      <c r="T379" s="145"/>
      <c r="U379" s="145"/>
      <c r="V379" s="145"/>
      <c r="W379" s="145"/>
      <c r="X379" s="145"/>
      <c r="Y379" s="145"/>
      <c r="Z379" s="145"/>
    </row>
    <row r="380" spans="1:26" ht="15.75" x14ac:dyDescent="0.25">
      <c r="A380" s="145"/>
      <c r="B380" s="145"/>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5"/>
      <c r="Z380" s="145"/>
    </row>
    <row r="381" spans="1:26" ht="15.75" x14ac:dyDescent="0.25">
      <c r="A381" s="145"/>
      <c r="B381" s="145"/>
      <c r="C381" s="145"/>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5"/>
      <c r="Z381" s="145"/>
    </row>
    <row r="382" spans="1:26" ht="15.75" x14ac:dyDescent="0.25">
      <c r="A382" s="145"/>
      <c r="B382" s="145"/>
      <c r="C382" s="145"/>
      <c r="D382" s="145"/>
      <c r="E382" s="145"/>
      <c r="F382" s="145"/>
      <c r="G382" s="145"/>
      <c r="H382" s="145"/>
      <c r="I382" s="145"/>
      <c r="J382" s="145"/>
      <c r="K382" s="145"/>
      <c r="L382" s="145"/>
      <c r="M382" s="145"/>
      <c r="N382" s="145"/>
      <c r="O382" s="145"/>
      <c r="P382" s="145"/>
      <c r="Q382" s="145"/>
      <c r="R382" s="145"/>
      <c r="S382" s="145"/>
      <c r="T382" s="145"/>
      <c r="U382" s="145"/>
      <c r="V382" s="145"/>
      <c r="W382" s="145"/>
      <c r="X382" s="145"/>
      <c r="Y382" s="145"/>
      <c r="Z382" s="145"/>
    </row>
    <row r="383" spans="1:26" ht="15.75" x14ac:dyDescent="0.25">
      <c r="A383" s="145"/>
      <c r="B383" s="145"/>
      <c r="C383" s="145"/>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5"/>
    </row>
    <row r="384" spans="1:26" ht="15.75" x14ac:dyDescent="0.25">
      <c r="A384" s="145"/>
      <c r="B384" s="145"/>
      <c r="C384" s="145"/>
      <c r="D384" s="145"/>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row>
    <row r="385" spans="1:26" ht="15.75" x14ac:dyDescent="0.25">
      <c r="A385" s="145"/>
      <c r="B385" s="145"/>
      <c r="C385" s="145"/>
      <c r="D385" s="145"/>
      <c r="E385" s="145"/>
      <c r="F385" s="145"/>
      <c r="G385" s="145"/>
      <c r="H385" s="145"/>
      <c r="I385" s="145"/>
      <c r="J385" s="145"/>
      <c r="K385" s="145"/>
      <c r="L385" s="145"/>
      <c r="M385" s="145"/>
      <c r="N385" s="145"/>
      <c r="O385" s="145"/>
      <c r="P385" s="145"/>
      <c r="Q385" s="145"/>
      <c r="R385" s="145"/>
      <c r="S385" s="145"/>
      <c r="T385" s="145"/>
      <c r="U385" s="145"/>
      <c r="V385" s="145"/>
      <c r="W385" s="145"/>
      <c r="X385" s="145"/>
      <c r="Y385" s="145"/>
      <c r="Z385" s="145"/>
    </row>
    <row r="386" spans="1:26" ht="15.75" x14ac:dyDescent="0.25">
      <c r="A386" s="145"/>
      <c r="B386" s="145"/>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145"/>
      <c r="Y386" s="145"/>
      <c r="Z386" s="145"/>
    </row>
    <row r="387" spans="1:26" ht="15.75" x14ac:dyDescent="0.25">
      <c r="A387" s="145"/>
      <c r="B387" s="145"/>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5"/>
      <c r="Z387" s="145"/>
    </row>
    <row r="388" spans="1:26" ht="15.75" x14ac:dyDescent="0.25">
      <c r="A388" s="145"/>
      <c r="B388" s="145"/>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row>
    <row r="389" spans="1:26" ht="15.75" x14ac:dyDescent="0.25">
      <c r="A389" s="145"/>
      <c r="B389" s="145"/>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row>
    <row r="390" spans="1:26" ht="15.75" x14ac:dyDescent="0.25">
      <c r="A390" s="145"/>
      <c r="B390" s="145"/>
      <c r="C390" s="145"/>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row>
    <row r="391" spans="1:26" ht="15.75" x14ac:dyDescent="0.25">
      <c r="A391" s="145"/>
      <c r="B391" s="145"/>
      <c r="C391" s="145"/>
      <c r="D391" s="145"/>
      <c r="E391" s="145"/>
      <c r="F391" s="145"/>
      <c r="G391" s="145"/>
      <c r="H391" s="145"/>
      <c r="I391" s="145"/>
      <c r="J391" s="145"/>
      <c r="K391" s="145"/>
      <c r="L391" s="145"/>
      <c r="M391" s="145"/>
      <c r="N391" s="145"/>
      <c r="O391" s="145"/>
      <c r="P391" s="145"/>
      <c r="Q391" s="145"/>
      <c r="R391" s="145"/>
      <c r="S391" s="145"/>
      <c r="T391" s="145"/>
      <c r="U391" s="145"/>
      <c r="V391" s="145"/>
      <c r="W391" s="145"/>
      <c r="X391" s="145"/>
      <c r="Y391" s="145"/>
      <c r="Z391" s="145"/>
    </row>
    <row r="392" spans="1:26" ht="15.75" x14ac:dyDescent="0.25">
      <c r="A392" s="145"/>
      <c r="B392" s="145"/>
      <c r="C392" s="145"/>
      <c r="D392" s="145"/>
      <c r="E392" s="145"/>
      <c r="F392" s="145"/>
      <c r="G392" s="145"/>
      <c r="H392" s="145"/>
      <c r="I392" s="145"/>
      <c r="J392" s="145"/>
      <c r="K392" s="145"/>
      <c r="L392" s="145"/>
      <c r="M392" s="145"/>
      <c r="N392" s="145"/>
      <c r="O392" s="145"/>
      <c r="P392" s="145"/>
      <c r="Q392" s="145"/>
      <c r="R392" s="145"/>
      <c r="S392" s="145"/>
      <c r="T392" s="145"/>
      <c r="U392" s="145"/>
      <c r="V392" s="145"/>
      <c r="W392" s="145"/>
      <c r="X392" s="145"/>
      <c r="Y392" s="145"/>
      <c r="Z392" s="145"/>
    </row>
    <row r="393" spans="1:26" ht="15.75" x14ac:dyDescent="0.25">
      <c r="A393" s="145"/>
      <c r="B393" s="145"/>
      <c r="C393" s="145"/>
      <c r="D393" s="145"/>
      <c r="E393" s="145"/>
      <c r="F393" s="145"/>
      <c r="G393" s="145"/>
      <c r="H393" s="145"/>
      <c r="I393" s="145"/>
      <c r="J393" s="145"/>
      <c r="K393" s="145"/>
      <c r="L393" s="145"/>
      <c r="M393" s="145"/>
      <c r="N393" s="145"/>
      <c r="O393" s="145"/>
      <c r="P393" s="145"/>
      <c r="Q393" s="145"/>
      <c r="R393" s="145"/>
      <c r="S393" s="145"/>
      <c r="T393" s="145"/>
      <c r="U393" s="145"/>
      <c r="V393" s="145"/>
      <c r="W393" s="145"/>
      <c r="X393" s="145"/>
      <c r="Y393" s="145"/>
      <c r="Z393" s="145"/>
    </row>
    <row r="394" spans="1:26" ht="15.75" x14ac:dyDescent="0.25">
      <c r="A394" s="145"/>
      <c r="B394" s="145"/>
      <c r="C394" s="145"/>
      <c r="D394" s="145"/>
      <c r="E394" s="145"/>
      <c r="F394" s="145"/>
      <c r="G394" s="145"/>
      <c r="H394" s="145"/>
      <c r="I394" s="145"/>
      <c r="J394" s="145"/>
      <c r="K394" s="145"/>
      <c r="L394" s="145"/>
      <c r="M394" s="145"/>
      <c r="N394" s="145"/>
      <c r="O394" s="145"/>
      <c r="P394" s="145"/>
      <c r="Q394" s="145"/>
      <c r="R394" s="145"/>
      <c r="S394" s="145"/>
      <c r="T394" s="145"/>
      <c r="U394" s="145"/>
      <c r="V394" s="145"/>
      <c r="W394" s="145"/>
      <c r="X394" s="145"/>
      <c r="Y394" s="145"/>
      <c r="Z394" s="145"/>
    </row>
    <row r="395" spans="1:26" ht="15.75" x14ac:dyDescent="0.25">
      <c r="A395" s="145"/>
      <c r="B395" s="145"/>
      <c r="C395" s="145"/>
      <c r="D395" s="145"/>
      <c r="E395" s="145"/>
      <c r="F395" s="145"/>
      <c r="G395" s="145"/>
      <c r="H395" s="145"/>
      <c r="I395" s="145"/>
      <c r="J395" s="145"/>
      <c r="K395" s="145"/>
      <c r="L395" s="145"/>
      <c r="M395" s="145"/>
      <c r="N395" s="145"/>
      <c r="O395" s="145"/>
      <c r="P395" s="145"/>
      <c r="Q395" s="145"/>
      <c r="R395" s="145"/>
      <c r="S395" s="145"/>
      <c r="T395" s="145"/>
      <c r="U395" s="145"/>
      <c r="V395" s="145"/>
      <c r="W395" s="145"/>
      <c r="X395" s="145"/>
      <c r="Y395" s="145"/>
      <c r="Z395" s="145"/>
    </row>
    <row r="396" spans="1:26" ht="15.75" x14ac:dyDescent="0.25">
      <c r="A396" s="145"/>
      <c r="B396" s="145"/>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145"/>
      <c r="Z396" s="145"/>
    </row>
    <row r="397" spans="1:26" ht="15.75" x14ac:dyDescent="0.25">
      <c r="A397" s="145"/>
      <c r="B397" s="145"/>
      <c r="C397" s="145"/>
      <c r="D397" s="145"/>
      <c r="E397" s="145"/>
      <c r="F397" s="145"/>
      <c r="G397" s="145"/>
      <c r="H397" s="145"/>
      <c r="I397" s="145"/>
      <c r="J397" s="145"/>
      <c r="K397" s="145"/>
      <c r="L397" s="145"/>
      <c r="M397" s="145"/>
      <c r="N397" s="145"/>
      <c r="O397" s="145"/>
      <c r="P397" s="145"/>
      <c r="Q397" s="145"/>
      <c r="R397" s="145"/>
      <c r="S397" s="145"/>
      <c r="T397" s="145"/>
      <c r="U397" s="145"/>
      <c r="V397" s="145"/>
      <c r="W397" s="145"/>
      <c r="X397" s="145"/>
      <c r="Y397" s="145"/>
      <c r="Z397" s="145"/>
    </row>
    <row r="398" spans="1:26" ht="15.75" x14ac:dyDescent="0.25">
      <c r="A398" s="145"/>
      <c r="B398" s="145"/>
      <c r="C398" s="145"/>
      <c r="D398" s="145"/>
      <c r="E398" s="145"/>
      <c r="F398" s="145"/>
      <c r="G398" s="145"/>
      <c r="H398" s="145"/>
      <c r="I398" s="145"/>
      <c r="J398" s="145"/>
      <c r="K398" s="145"/>
      <c r="L398" s="145"/>
      <c r="M398" s="145"/>
      <c r="N398" s="145"/>
      <c r="O398" s="145"/>
      <c r="P398" s="145"/>
      <c r="Q398" s="145"/>
      <c r="R398" s="145"/>
      <c r="S398" s="145"/>
      <c r="T398" s="145"/>
      <c r="U398" s="145"/>
      <c r="V398" s="145"/>
      <c r="W398" s="145"/>
      <c r="X398" s="145"/>
      <c r="Y398" s="145"/>
      <c r="Z398" s="145"/>
    </row>
    <row r="399" spans="1:26" ht="15.75" x14ac:dyDescent="0.25">
      <c r="A399" s="145"/>
      <c r="B399" s="145"/>
      <c r="C399" s="145"/>
      <c r="D399" s="145"/>
      <c r="E399" s="145"/>
      <c r="F399" s="145"/>
      <c r="G399" s="145"/>
      <c r="H399" s="145"/>
      <c r="I399" s="145"/>
      <c r="J399" s="145"/>
      <c r="K399" s="145"/>
      <c r="L399" s="145"/>
      <c r="M399" s="145"/>
      <c r="N399" s="145"/>
      <c r="O399" s="145"/>
      <c r="P399" s="145"/>
      <c r="Q399" s="145"/>
      <c r="R399" s="145"/>
      <c r="S399" s="145"/>
      <c r="T399" s="145"/>
      <c r="U399" s="145"/>
      <c r="V399" s="145"/>
      <c r="W399" s="145"/>
      <c r="X399" s="145"/>
      <c r="Y399" s="145"/>
      <c r="Z399" s="145"/>
    </row>
    <row r="400" spans="1:26" ht="15.75" x14ac:dyDescent="0.25">
      <c r="A400" s="145"/>
      <c r="B400" s="145"/>
      <c r="C400" s="145"/>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145"/>
      <c r="Z400" s="145"/>
    </row>
    <row r="401" spans="1:26" ht="15.75" x14ac:dyDescent="0.25">
      <c r="A401" s="145"/>
      <c r="B401" s="145"/>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5"/>
      <c r="Z401" s="145"/>
    </row>
    <row r="402" spans="1:26" ht="15.75" x14ac:dyDescent="0.25">
      <c r="A402" s="145"/>
      <c r="B402" s="145"/>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5"/>
      <c r="Z402" s="145"/>
    </row>
    <row r="403" spans="1:26" ht="15.75" x14ac:dyDescent="0.25">
      <c r="A403" s="145"/>
      <c r="B403" s="145"/>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5"/>
      <c r="Z403" s="145"/>
    </row>
    <row r="404" spans="1:26" ht="15.75" x14ac:dyDescent="0.25">
      <c r="A404" s="145"/>
      <c r="B404" s="145"/>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5"/>
      <c r="Z404" s="145"/>
    </row>
    <row r="405" spans="1:26" ht="15.75" x14ac:dyDescent="0.25">
      <c r="A405" s="145"/>
      <c r="B405" s="145"/>
      <c r="C405" s="145"/>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5"/>
      <c r="Z405" s="145"/>
    </row>
    <row r="406" spans="1:26" ht="15.75" x14ac:dyDescent="0.25">
      <c r="A406" s="145"/>
      <c r="B406" s="145"/>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5"/>
      <c r="Z406" s="145"/>
    </row>
    <row r="407" spans="1:26" ht="15.75" x14ac:dyDescent="0.25">
      <c r="A407" s="145"/>
      <c r="B407" s="145"/>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row>
    <row r="408" spans="1:26" ht="15.75" x14ac:dyDescent="0.25">
      <c r="A408" s="145"/>
      <c r="B408" s="145"/>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5"/>
      <c r="Z408" s="145"/>
    </row>
    <row r="409" spans="1:26" ht="15.75" x14ac:dyDescent="0.25">
      <c r="A409" s="145"/>
      <c r="B409" s="145"/>
      <c r="C409" s="145"/>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5"/>
      <c r="Z409" s="145"/>
    </row>
    <row r="410" spans="1:26" ht="15.75" x14ac:dyDescent="0.25">
      <c r="A410" s="145"/>
      <c r="B410" s="145"/>
      <c r="C410" s="145"/>
      <c r="D410" s="145"/>
      <c r="E410" s="145"/>
      <c r="F410" s="145"/>
      <c r="G410" s="145"/>
      <c r="H410" s="145"/>
      <c r="I410" s="145"/>
      <c r="J410" s="145"/>
      <c r="K410" s="145"/>
      <c r="L410" s="145"/>
      <c r="M410" s="145"/>
      <c r="N410" s="145"/>
      <c r="O410" s="145"/>
      <c r="P410" s="145"/>
      <c r="Q410" s="145"/>
      <c r="R410" s="145"/>
      <c r="S410" s="145"/>
      <c r="T410" s="145"/>
      <c r="U410" s="145"/>
      <c r="V410" s="145"/>
      <c r="W410" s="145"/>
      <c r="X410" s="145"/>
      <c r="Y410" s="145"/>
      <c r="Z410" s="145"/>
    </row>
    <row r="411" spans="1:26" ht="15.75" x14ac:dyDescent="0.25">
      <c r="A411" s="145"/>
      <c r="B411" s="145"/>
      <c r="C411" s="145"/>
      <c r="D411" s="145"/>
      <c r="E411" s="145"/>
      <c r="F411" s="145"/>
      <c r="G411" s="145"/>
      <c r="H411" s="145"/>
      <c r="I411" s="145"/>
      <c r="J411" s="145"/>
      <c r="K411" s="145"/>
      <c r="L411" s="145"/>
      <c r="M411" s="145"/>
      <c r="N411" s="145"/>
      <c r="O411" s="145"/>
      <c r="P411" s="145"/>
      <c r="Q411" s="145"/>
      <c r="R411" s="145"/>
      <c r="S411" s="145"/>
      <c r="T411" s="145"/>
      <c r="U411" s="145"/>
      <c r="V411" s="145"/>
      <c r="W411" s="145"/>
      <c r="X411" s="145"/>
      <c r="Y411" s="145"/>
      <c r="Z411" s="145"/>
    </row>
    <row r="412" spans="1:26" ht="15.75" x14ac:dyDescent="0.25">
      <c r="A412" s="145"/>
      <c r="B412" s="145"/>
      <c r="C412" s="145"/>
      <c r="D412" s="145"/>
      <c r="E412" s="145"/>
      <c r="F412" s="145"/>
      <c r="G412" s="145"/>
      <c r="H412" s="145"/>
      <c r="I412" s="145"/>
      <c r="J412" s="145"/>
      <c r="K412" s="145"/>
      <c r="L412" s="145"/>
      <c r="M412" s="145"/>
      <c r="N412" s="145"/>
      <c r="O412" s="145"/>
      <c r="P412" s="145"/>
      <c r="Q412" s="145"/>
      <c r="R412" s="145"/>
      <c r="S412" s="145"/>
      <c r="T412" s="145"/>
      <c r="U412" s="145"/>
      <c r="V412" s="145"/>
      <c r="W412" s="145"/>
      <c r="X412" s="145"/>
      <c r="Y412" s="145"/>
      <c r="Z412" s="145"/>
    </row>
    <row r="413" spans="1:26" ht="15.75" x14ac:dyDescent="0.25">
      <c r="A413" s="145"/>
      <c r="B413" s="145"/>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5"/>
      <c r="Z413" s="145"/>
    </row>
    <row r="414" spans="1:26" ht="15.75" x14ac:dyDescent="0.25">
      <c r="A414" s="145"/>
      <c r="B414" s="145"/>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row>
    <row r="415" spans="1:26" ht="15.75" x14ac:dyDescent="0.25">
      <c r="A415" s="145"/>
      <c r="B415" s="145"/>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5"/>
      <c r="Z415" s="145"/>
    </row>
    <row r="416" spans="1:26" ht="15.75" x14ac:dyDescent="0.25">
      <c r="A416" s="145"/>
      <c r="B416" s="145"/>
      <c r="C416" s="145"/>
      <c r="D416" s="145"/>
      <c r="E416" s="145"/>
      <c r="F416" s="145"/>
      <c r="G416" s="145"/>
      <c r="H416" s="145"/>
      <c r="I416" s="145"/>
      <c r="J416" s="145"/>
      <c r="K416" s="145"/>
      <c r="L416" s="145"/>
      <c r="M416" s="145"/>
      <c r="N416" s="145"/>
      <c r="O416" s="145"/>
      <c r="P416" s="145"/>
      <c r="Q416" s="145"/>
      <c r="R416" s="145"/>
      <c r="S416" s="145"/>
      <c r="T416" s="145"/>
      <c r="U416" s="145"/>
      <c r="V416" s="145"/>
      <c r="W416" s="145"/>
      <c r="X416" s="145"/>
      <c r="Y416" s="145"/>
      <c r="Z416" s="145"/>
    </row>
    <row r="417" spans="1:26" ht="15.75" x14ac:dyDescent="0.25">
      <c r="A417" s="145"/>
      <c r="B417" s="145"/>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5"/>
      <c r="Z417" s="145"/>
    </row>
    <row r="418" spans="1:26" ht="15.75" x14ac:dyDescent="0.25">
      <c r="A418" s="145"/>
      <c r="B418" s="145"/>
      <c r="C418" s="145"/>
      <c r="D418" s="145"/>
      <c r="E418" s="145"/>
      <c r="F418" s="145"/>
      <c r="G418" s="145"/>
      <c r="H418" s="145"/>
      <c r="I418" s="145"/>
      <c r="J418" s="145"/>
      <c r="K418" s="145"/>
      <c r="L418" s="145"/>
      <c r="M418" s="145"/>
      <c r="N418" s="145"/>
      <c r="O418" s="145"/>
      <c r="P418" s="145"/>
      <c r="Q418" s="145"/>
      <c r="R418" s="145"/>
      <c r="S418" s="145"/>
      <c r="T418" s="145"/>
      <c r="U418" s="145"/>
      <c r="V418" s="145"/>
      <c r="W418" s="145"/>
      <c r="X418" s="145"/>
      <c r="Y418" s="145"/>
      <c r="Z418" s="145"/>
    </row>
    <row r="419" spans="1:26" ht="15.75" x14ac:dyDescent="0.25">
      <c r="A419" s="145"/>
      <c r="B419" s="145"/>
      <c r="C419" s="145"/>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5"/>
      <c r="Z419" s="145"/>
    </row>
    <row r="420" spans="1:26" ht="15.75" x14ac:dyDescent="0.25">
      <c r="A420" s="145"/>
      <c r="B420" s="145"/>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5"/>
      <c r="Z420" s="145"/>
    </row>
    <row r="421" spans="1:26" ht="15.75" x14ac:dyDescent="0.25">
      <c r="A421" s="145"/>
      <c r="B421" s="145"/>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5"/>
      <c r="Z421" s="145"/>
    </row>
    <row r="422" spans="1:26" ht="15.75" x14ac:dyDescent="0.25">
      <c r="A422" s="145"/>
      <c r="B422" s="145"/>
      <c r="C422" s="145"/>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5"/>
      <c r="Z422" s="145"/>
    </row>
    <row r="423" spans="1:26" ht="15.75" x14ac:dyDescent="0.25">
      <c r="A423" s="145"/>
      <c r="B423" s="145"/>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5"/>
      <c r="Z423" s="145"/>
    </row>
    <row r="424" spans="1:26" ht="15.75" x14ac:dyDescent="0.25">
      <c r="A424" s="145"/>
      <c r="B424" s="145"/>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45"/>
      <c r="Z424" s="145"/>
    </row>
    <row r="425" spans="1:26" ht="15.75" x14ac:dyDescent="0.25">
      <c r="A425" s="145"/>
      <c r="B425" s="145"/>
      <c r="C425" s="145"/>
      <c r="D425" s="145"/>
      <c r="E425" s="145"/>
      <c r="F425" s="145"/>
      <c r="G425" s="145"/>
      <c r="H425" s="145"/>
      <c r="I425" s="145"/>
      <c r="J425" s="145"/>
      <c r="K425" s="145"/>
      <c r="L425" s="145"/>
      <c r="M425" s="145"/>
      <c r="N425" s="145"/>
      <c r="O425" s="145"/>
      <c r="P425" s="145"/>
      <c r="Q425" s="145"/>
      <c r="R425" s="145"/>
      <c r="S425" s="145"/>
      <c r="T425" s="145"/>
      <c r="U425" s="145"/>
      <c r="V425" s="145"/>
      <c r="W425" s="145"/>
      <c r="X425" s="145"/>
      <c r="Y425" s="145"/>
      <c r="Z425" s="145"/>
    </row>
    <row r="426" spans="1:26" ht="15.75" x14ac:dyDescent="0.25">
      <c r="A426" s="145"/>
      <c r="B426" s="145"/>
      <c r="C426" s="145"/>
      <c r="D426" s="145"/>
      <c r="E426" s="145"/>
      <c r="F426" s="145"/>
      <c r="G426" s="145"/>
      <c r="H426" s="145"/>
      <c r="I426" s="145"/>
      <c r="J426" s="145"/>
      <c r="K426" s="145"/>
      <c r="L426" s="145"/>
      <c r="M426" s="145"/>
      <c r="N426" s="145"/>
      <c r="O426" s="145"/>
      <c r="P426" s="145"/>
      <c r="Q426" s="145"/>
      <c r="R426" s="145"/>
      <c r="S426" s="145"/>
      <c r="T426" s="145"/>
      <c r="U426" s="145"/>
      <c r="V426" s="145"/>
      <c r="W426" s="145"/>
      <c r="X426" s="145"/>
      <c r="Y426" s="145"/>
      <c r="Z426" s="145"/>
    </row>
    <row r="427" spans="1:26" ht="15.75" x14ac:dyDescent="0.25">
      <c r="A427" s="145"/>
      <c r="B427" s="145"/>
      <c r="C427" s="145"/>
      <c r="D427" s="145"/>
      <c r="E427" s="145"/>
      <c r="F427" s="145"/>
      <c r="G427" s="145"/>
      <c r="H427" s="145"/>
      <c r="I427" s="145"/>
      <c r="J427" s="145"/>
      <c r="K427" s="145"/>
      <c r="L427" s="145"/>
      <c r="M427" s="145"/>
      <c r="N427" s="145"/>
      <c r="O427" s="145"/>
      <c r="P427" s="145"/>
      <c r="Q427" s="145"/>
      <c r="R427" s="145"/>
      <c r="S427" s="145"/>
      <c r="T427" s="145"/>
      <c r="U427" s="145"/>
      <c r="V427" s="145"/>
      <c r="W427" s="145"/>
      <c r="X427" s="145"/>
      <c r="Y427" s="145"/>
      <c r="Z427" s="145"/>
    </row>
    <row r="428" spans="1:26" ht="15.75" x14ac:dyDescent="0.25">
      <c r="A428" s="145"/>
      <c r="B428" s="145"/>
      <c r="C428" s="145"/>
      <c r="D428" s="145"/>
      <c r="E428" s="145"/>
      <c r="F428" s="145"/>
      <c r="G428" s="145"/>
      <c r="H428" s="145"/>
      <c r="I428" s="145"/>
      <c r="J428" s="145"/>
      <c r="K428" s="145"/>
      <c r="L428" s="145"/>
      <c r="M428" s="145"/>
      <c r="N428" s="145"/>
      <c r="O428" s="145"/>
      <c r="P428" s="145"/>
      <c r="Q428" s="145"/>
      <c r="R428" s="145"/>
      <c r="S428" s="145"/>
      <c r="T428" s="145"/>
      <c r="U428" s="145"/>
      <c r="V428" s="145"/>
      <c r="W428" s="145"/>
      <c r="X428" s="145"/>
      <c r="Y428" s="145"/>
      <c r="Z428" s="145"/>
    </row>
    <row r="429" spans="1:26" ht="15.75" x14ac:dyDescent="0.25">
      <c r="A429" s="145"/>
      <c r="B429" s="145"/>
      <c r="C429" s="145"/>
      <c r="D429" s="145"/>
      <c r="E429" s="145"/>
      <c r="F429" s="145"/>
      <c r="G429" s="145"/>
      <c r="H429" s="145"/>
      <c r="I429" s="145"/>
      <c r="J429" s="145"/>
      <c r="K429" s="145"/>
      <c r="L429" s="145"/>
      <c r="M429" s="145"/>
      <c r="N429" s="145"/>
      <c r="O429" s="145"/>
      <c r="P429" s="145"/>
      <c r="Q429" s="145"/>
      <c r="R429" s="145"/>
      <c r="S429" s="145"/>
      <c r="T429" s="145"/>
      <c r="U429" s="145"/>
      <c r="V429" s="145"/>
      <c r="W429" s="145"/>
      <c r="X429" s="145"/>
      <c r="Y429" s="145"/>
      <c r="Z429" s="145"/>
    </row>
    <row r="430" spans="1:26" ht="15.75" x14ac:dyDescent="0.25">
      <c r="A430" s="145"/>
      <c r="B430" s="145"/>
      <c r="C430" s="145"/>
      <c r="D430" s="145"/>
      <c r="E430" s="145"/>
      <c r="F430" s="145"/>
      <c r="G430" s="145"/>
      <c r="H430" s="145"/>
      <c r="I430" s="145"/>
      <c r="J430" s="145"/>
      <c r="K430" s="145"/>
      <c r="L430" s="145"/>
      <c r="M430" s="145"/>
      <c r="N430" s="145"/>
      <c r="O430" s="145"/>
      <c r="P430" s="145"/>
      <c r="Q430" s="145"/>
      <c r="R430" s="145"/>
      <c r="S430" s="145"/>
      <c r="T430" s="145"/>
      <c r="U430" s="145"/>
      <c r="V430" s="145"/>
      <c r="W430" s="145"/>
      <c r="X430" s="145"/>
      <c r="Y430" s="145"/>
      <c r="Z430" s="145"/>
    </row>
    <row r="431" spans="1:26" ht="15.75" x14ac:dyDescent="0.25">
      <c r="A431" s="145"/>
      <c r="B431" s="145"/>
      <c r="C431" s="145"/>
      <c r="D431" s="145"/>
      <c r="E431" s="145"/>
      <c r="F431" s="145"/>
      <c r="G431" s="145"/>
      <c r="H431" s="145"/>
      <c r="I431" s="145"/>
      <c r="J431" s="145"/>
      <c r="K431" s="145"/>
      <c r="L431" s="145"/>
      <c r="M431" s="145"/>
      <c r="N431" s="145"/>
      <c r="O431" s="145"/>
      <c r="P431" s="145"/>
      <c r="Q431" s="145"/>
      <c r="R431" s="145"/>
      <c r="S431" s="145"/>
      <c r="T431" s="145"/>
      <c r="U431" s="145"/>
      <c r="V431" s="145"/>
      <c r="W431" s="145"/>
      <c r="X431" s="145"/>
      <c r="Y431" s="145"/>
      <c r="Z431" s="145"/>
    </row>
    <row r="432" spans="1:26" ht="15.75" x14ac:dyDescent="0.25">
      <c r="A432" s="145"/>
      <c r="B432" s="145"/>
      <c r="C432" s="145"/>
      <c r="D432" s="145"/>
      <c r="E432" s="145"/>
      <c r="F432" s="145"/>
      <c r="G432" s="145"/>
      <c r="H432" s="145"/>
      <c r="I432" s="145"/>
      <c r="J432" s="145"/>
      <c r="K432" s="145"/>
      <c r="L432" s="145"/>
      <c r="M432" s="145"/>
      <c r="N432" s="145"/>
      <c r="O432" s="145"/>
      <c r="P432" s="145"/>
      <c r="Q432" s="145"/>
      <c r="R432" s="145"/>
      <c r="S432" s="145"/>
      <c r="T432" s="145"/>
      <c r="U432" s="145"/>
      <c r="V432" s="145"/>
      <c r="W432" s="145"/>
      <c r="X432" s="145"/>
      <c r="Y432" s="145"/>
      <c r="Z432" s="145"/>
    </row>
    <row r="433" spans="1:26" ht="15.75" x14ac:dyDescent="0.25">
      <c r="A433" s="145"/>
      <c r="B433" s="145"/>
      <c r="C433" s="145"/>
      <c r="D433" s="145"/>
      <c r="E433" s="145"/>
      <c r="F433" s="145"/>
      <c r="G433" s="145"/>
      <c r="H433" s="145"/>
      <c r="I433" s="145"/>
      <c r="J433" s="145"/>
      <c r="K433" s="145"/>
      <c r="L433" s="145"/>
      <c r="M433" s="145"/>
      <c r="N433" s="145"/>
      <c r="O433" s="145"/>
      <c r="P433" s="145"/>
      <c r="Q433" s="145"/>
      <c r="R433" s="145"/>
      <c r="S433" s="145"/>
      <c r="T433" s="145"/>
      <c r="U433" s="145"/>
      <c r="V433" s="145"/>
      <c r="W433" s="145"/>
      <c r="X433" s="145"/>
      <c r="Y433" s="145"/>
      <c r="Z433" s="145"/>
    </row>
    <row r="434" spans="1:26" ht="15.75" x14ac:dyDescent="0.25">
      <c r="A434" s="145"/>
      <c r="B434" s="145"/>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5"/>
      <c r="Z434" s="145"/>
    </row>
    <row r="435" spans="1:26" ht="15.75" x14ac:dyDescent="0.25">
      <c r="A435" s="145"/>
      <c r="B435" s="145"/>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row>
    <row r="436" spans="1:26" ht="15.75" x14ac:dyDescent="0.25">
      <c r="A436" s="145"/>
      <c r="B436" s="145"/>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5"/>
      <c r="Z436" s="145"/>
    </row>
    <row r="437" spans="1:26" ht="15.75" x14ac:dyDescent="0.25">
      <c r="A437" s="145"/>
      <c r="B437" s="145"/>
      <c r="C437" s="145"/>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5"/>
      <c r="Z437" s="145"/>
    </row>
    <row r="438" spans="1:26" ht="15.75" x14ac:dyDescent="0.25">
      <c r="A438" s="145"/>
      <c r="B438" s="145"/>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row>
    <row r="439" spans="1:26" ht="15.75" x14ac:dyDescent="0.25">
      <c r="A439" s="145"/>
      <c r="B439" s="145"/>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row>
    <row r="440" spans="1:26" ht="15.75" x14ac:dyDescent="0.25">
      <c r="A440" s="145"/>
      <c r="B440" s="145"/>
      <c r="C440" s="145"/>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5"/>
      <c r="Z440" s="145"/>
    </row>
    <row r="441" spans="1:26" ht="15.75" x14ac:dyDescent="0.25">
      <c r="A441" s="145"/>
      <c r="B441" s="145"/>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5"/>
      <c r="Z441" s="145"/>
    </row>
    <row r="442" spans="1:26" ht="15.75" x14ac:dyDescent="0.25">
      <c r="A442" s="145"/>
      <c r="B442" s="145"/>
      <c r="C442" s="145"/>
      <c r="D442" s="145"/>
      <c r="E442" s="145"/>
      <c r="F442" s="145"/>
      <c r="G442" s="145"/>
      <c r="H442" s="145"/>
      <c r="I442" s="145"/>
      <c r="J442" s="145"/>
      <c r="K442" s="145"/>
      <c r="L442" s="145"/>
      <c r="M442" s="145"/>
      <c r="N442" s="145"/>
      <c r="O442" s="145"/>
      <c r="P442" s="145"/>
      <c r="Q442" s="145"/>
      <c r="R442" s="145"/>
      <c r="S442" s="145"/>
      <c r="T442" s="145"/>
      <c r="U442" s="145"/>
      <c r="V442" s="145"/>
      <c r="W442" s="145"/>
      <c r="X442" s="145"/>
      <c r="Y442" s="145"/>
      <c r="Z442" s="145"/>
    </row>
    <row r="443" spans="1:26" ht="15.75" x14ac:dyDescent="0.25">
      <c r="A443" s="145"/>
      <c r="B443" s="145"/>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5"/>
      <c r="Z443" s="145"/>
    </row>
    <row r="444" spans="1:26" ht="15.75" x14ac:dyDescent="0.25">
      <c r="A444" s="145"/>
      <c r="B444" s="145"/>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45"/>
      <c r="Z444" s="145"/>
    </row>
    <row r="445" spans="1:26" ht="15.75" x14ac:dyDescent="0.25">
      <c r="A445" s="145"/>
      <c r="B445" s="145"/>
      <c r="C445" s="145"/>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5"/>
      <c r="Z445" s="145"/>
    </row>
    <row r="446" spans="1:26" ht="15.75" x14ac:dyDescent="0.25">
      <c r="A446" s="145"/>
      <c r="B446" s="145"/>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5"/>
      <c r="Z446" s="145"/>
    </row>
    <row r="447" spans="1:26" ht="15.75" x14ac:dyDescent="0.25">
      <c r="A447" s="145"/>
      <c r="B447" s="145"/>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5"/>
      <c r="Z447" s="145"/>
    </row>
    <row r="448" spans="1:26" ht="15.75" x14ac:dyDescent="0.25">
      <c r="A448" s="145"/>
      <c r="B448" s="145"/>
      <c r="C448" s="145"/>
      <c r="D448" s="145"/>
      <c r="E448" s="145"/>
      <c r="F448" s="145"/>
      <c r="G448" s="145"/>
      <c r="H448" s="145"/>
      <c r="I448" s="145"/>
      <c r="J448" s="145"/>
      <c r="K448" s="145"/>
      <c r="L448" s="145"/>
      <c r="M448" s="145"/>
      <c r="N448" s="145"/>
      <c r="O448" s="145"/>
      <c r="P448" s="145"/>
      <c r="Q448" s="145"/>
      <c r="R448" s="145"/>
      <c r="S448" s="145"/>
      <c r="T448" s="145"/>
      <c r="U448" s="145"/>
      <c r="V448" s="145"/>
      <c r="W448" s="145"/>
      <c r="X448" s="145"/>
      <c r="Y448" s="145"/>
      <c r="Z448" s="145"/>
    </row>
    <row r="449" spans="1:26" ht="15.75" x14ac:dyDescent="0.25">
      <c r="A449" s="145"/>
      <c r="B449" s="145"/>
      <c r="C449" s="145"/>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5"/>
      <c r="Z449" s="145"/>
    </row>
    <row r="450" spans="1:26" ht="15.75" x14ac:dyDescent="0.25">
      <c r="A450" s="145"/>
      <c r="B450" s="145"/>
      <c r="C450" s="145"/>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5"/>
      <c r="Z450" s="145"/>
    </row>
    <row r="451" spans="1:26" ht="15.75" x14ac:dyDescent="0.25">
      <c r="A451" s="145"/>
      <c r="B451" s="145"/>
      <c r="C451" s="145"/>
      <c r="D451" s="145"/>
      <c r="E451" s="145"/>
      <c r="F451" s="145"/>
      <c r="G451" s="145"/>
      <c r="H451" s="145"/>
      <c r="I451" s="145"/>
      <c r="J451" s="145"/>
      <c r="K451" s="145"/>
      <c r="L451" s="145"/>
      <c r="M451" s="145"/>
      <c r="N451" s="145"/>
      <c r="O451" s="145"/>
      <c r="P451" s="145"/>
      <c r="Q451" s="145"/>
      <c r="R451" s="145"/>
      <c r="S451" s="145"/>
      <c r="T451" s="145"/>
      <c r="U451" s="145"/>
      <c r="V451" s="145"/>
      <c r="W451" s="145"/>
      <c r="X451" s="145"/>
      <c r="Y451" s="145"/>
      <c r="Z451" s="145"/>
    </row>
    <row r="452" spans="1:26" ht="15.75" x14ac:dyDescent="0.25">
      <c r="A452" s="145"/>
      <c r="B452" s="145"/>
      <c r="C452" s="145"/>
      <c r="D452" s="145"/>
      <c r="E452" s="145"/>
      <c r="F452" s="145"/>
      <c r="G452" s="145"/>
      <c r="H452" s="145"/>
      <c r="I452" s="145"/>
      <c r="J452" s="145"/>
      <c r="K452" s="145"/>
      <c r="L452" s="145"/>
      <c r="M452" s="145"/>
      <c r="N452" s="145"/>
      <c r="O452" s="145"/>
      <c r="P452" s="145"/>
      <c r="Q452" s="145"/>
      <c r="R452" s="145"/>
      <c r="S452" s="145"/>
      <c r="T452" s="145"/>
      <c r="U452" s="145"/>
      <c r="V452" s="145"/>
      <c r="W452" s="145"/>
      <c r="X452" s="145"/>
      <c r="Y452" s="145"/>
      <c r="Z452" s="145"/>
    </row>
    <row r="453" spans="1:26" ht="15.75" x14ac:dyDescent="0.25">
      <c r="A453" s="145"/>
      <c r="B453" s="145"/>
      <c r="C453" s="145"/>
      <c r="D453" s="145"/>
      <c r="E453" s="145"/>
      <c r="F453" s="145"/>
      <c r="G453" s="145"/>
      <c r="H453" s="145"/>
      <c r="I453" s="145"/>
      <c r="J453" s="145"/>
      <c r="K453" s="145"/>
      <c r="L453" s="145"/>
      <c r="M453" s="145"/>
      <c r="N453" s="145"/>
      <c r="O453" s="145"/>
      <c r="P453" s="145"/>
      <c r="Q453" s="145"/>
      <c r="R453" s="145"/>
      <c r="S453" s="145"/>
      <c r="T453" s="145"/>
      <c r="U453" s="145"/>
      <c r="V453" s="145"/>
      <c r="W453" s="145"/>
      <c r="X453" s="145"/>
      <c r="Y453" s="145"/>
      <c r="Z453" s="145"/>
    </row>
    <row r="454" spans="1:26" ht="15.75" x14ac:dyDescent="0.25">
      <c r="A454" s="145"/>
      <c r="B454" s="145"/>
      <c r="C454" s="145"/>
      <c r="D454" s="145"/>
      <c r="E454" s="145"/>
      <c r="F454" s="145"/>
      <c r="G454" s="145"/>
      <c r="H454" s="145"/>
      <c r="I454" s="145"/>
      <c r="J454" s="145"/>
      <c r="K454" s="145"/>
      <c r="L454" s="145"/>
      <c r="M454" s="145"/>
      <c r="N454" s="145"/>
      <c r="O454" s="145"/>
      <c r="P454" s="145"/>
      <c r="Q454" s="145"/>
      <c r="R454" s="145"/>
      <c r="S454" s="145"/>
      <c r="T454" s="145"/>
      <c r="U454" s="145"/>
      <c r="V454" s="145"/>
      <c r="W454" s="145"/>
      <c r="X454" s="145"/>
      <c r="Y454" s="145"/>
      <c r="Z454" s="145"/>
    </row>
    <row r="455" spans="1:26" ht="15.75" x14ac:dyDescent="0.25">
      <c r="A455" s="145"/>
      <c r="B455" s="145"/>
      <c r="C455" s="145"/>
      <c r="D455" s="145"/>
      <c r="E455" s="145"/>
      <c r="F455" s="145"/>
      <c r="G455" s="145"/>
      <c r="H455" s="145"/>
      <c r="I455" s="145"/>
      <c r="J455" s="145"/>
      <c r="K455" s="145"/>
      <c r="L455" s="145"/>
      <c r="M455" s="145"/>
      <c r="N455" s="145"/>
      <c r="O455" s="145"/>
      <c r="P455" s="145"/>
      <c r="Q455" s="145"/>
      <c r="R455" s="145"/>
      <c r="S455" s="145"/>
      <c r="T455" s="145"/>
      <c r="U455" s="145"/>
      <c r="V455" s="145"/>
      <c r="W455" s="145"/>
      <c r="X455" s="145"/>
      <c r="Y455" s="145"/>
      <c r="Z455" s="145"/>
    </row>
    <row r="456" spans="1:26" ht="15.75" x14ac:dyDescent="0.25">
      <c r="A456" s="145"/>
      <c r="B456" s="145"/>
      <c r="C456" s="145"/>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5"/>
      <c r="Z456" s="145"/>
    </row>
    <row r="457" spans="1:26" ht="15.75" x14ac:dyDescent="0.25">
      <c r="A457" s="145"/>
      <c r="B457" s="145"/>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5"/>
      <c r="Z457" s="145"/>
    </row>
    <row r="458" spans="1:26" ht="15.75" x14ac:dyDescent="0.25">
      <c r="A458" s="145"/>
      <c r="B458" s="145"/>
      <c r="C458" s="145"/>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5"/>
      <c r="Z458" s="145"/>
    </row>
    <row r="459" spans="1:26" ht="15.75" x14ac:dyDescent="0.25">
      <c r="A459" s="145"/>
      <c r="B459" s="145"/>
      <c r="C459" s="145"/>
      <c r="D459" s="145"/>
      <c r="E459" s="145"/>
      <c r="F459" s="145"/>
      <c r="G459" s="145"/>
      <c r="H459" s="145"/>
      <c r="I459" s="145"/>
      <c r="J459" s="145"/>
      <c r="K459" s="145"/>
      <c r="L459" s="145"/>
      <c r="M459" s="145"/>
      <c r="N459" s="145"/>
      <c r="O459" s="145"/>
      <c r="P459" s="145"/>
      <c r="Q459" s="145"/>
      <c r="R459" s="145"/>
      <c r="S459" s="145"/>
      <c r="T459" s="145"/>
      <c r="U459" s="145"/>
      <c r="V459" s="145"/>
      <c r="W459" s="145"/>
      <c r="X459" s="145"/>
      <c r="Y459" s="145"/>
      <c r="Z459" s="145"/>
    </row>
    <row r="460" spans="1:26" ht="15.75" x14ac:dyDescent="0.25">
      <c r="A460" s="145"/>
      <c r="B460" s="145"/>
      <c r="C460" s="145"/>
      <c r="D460" s="145"/>
      <c r="E460" s="145"/>
      <c r="F460" s="145"/>
      <c r="G460" s="145"/>
      <c r="H460" s="145"/>
      <c r="I460" s="145"/>
      <c r="J460" s="145"/>
      <c r="K460" s="145"/>
      <c r="L460" s="145"/>
      <c r="M460" s="145"/>
      <c r="N460" s="145"/>
      <c r="O460" s="145"/>
      <c r="P460" s="145"/>
      <c r="Q460" s="145"/>
      <c r="R460" s="145"/>
      <c r="S460" s="145"/>
      <c r="T460" s="145"/>
      <c r="U460" s="145"/>
      <c r="V460" s="145"/>
      <c r="W460" s="145"/>
      <c r="X460" s="145"/>
      <c r="Y460" s="145"/>
      <c r="Z460" s="145"/>
    </row>
    <row r="461" spans="1:26" ht="15.75" x14ac:dyDescent="0.25">
      <c r="A461" s="145"/>
      <c r="B461" s="145"/>
      <c r="C461" s="145"/>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5"/>
      <c r="Z461" s="145"/>
    </row>
    <row r="462" spans="1:26" ht="15.75" x14ac:dyDescent="0.25">
      <c r="A462" s="145"/>
      <c r="B462" s="145"/>
      <c r="C462" s="145"/>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5"/>
      <c r="Z462" s="145"/>
    </row>
    <row r="463" spans="1:26" ht="15.75" x14ac:dyDescent="0.25">
      <c r="A463" s="145"/>
      <c r="B463" s="145"/>
      <c r="C463" s="145"/>
      <c r="D463" s="145"/>
      <c r="E463" s="145"/>
      <c r="F463" s="145"/>
      <c r="G463" s="145"/>
      <c r="H463" s="145"/>
      <c r="I463" s="145"/>
      <c r="J463" s="145"/>
      <c r="K463" s="145"/>
      <c r="L463" s="145"/>
      <c r="M463" s="145"/>
      <c r="N463" s="145"/>
      <c r="O463" s="145"/>
      <c r="P463" s="145"/>
      <c r="Q463" s="145"/>
      <c r="R463" s="145"/>
      <c r="S463" s="145"/>
      <c r="T463" s="145"/>
      <c r="U463" s="145"/>
      <c r="V463" s="145"/>
      <c r="W463" s="145"/>
      <c r="X463" s="145"/>
      <c r="Y463" s="145"/>
      <c r="Z463" s="145"/>
    </row>
    <row r="464" spans="1:26" ht="15.75" x14ac:dyDescent="0.25">
      <c r="A464" s="145"/>
      <c r="B464" s="145"/>
      <c r="C464" s="145"/>
      <c r="D464" s="145"/>
      <c r="E464" s="145"/>
      <c r="F464" s="145"/>
      <c r="G464" s="145"/>
      <c r="H464" s="145"/>
      <c r="I464" s="145"/>
      <c r="J464" s="145"/>
      <c r="K464" s="145"/>
      <c r="L464" s="145"/>
      <c r="M464" s="145"/>
      <c r="N464" s="145"/>
      <c r="O464" s="145"/>
      <c r="P464" s="145"/>
      <c r="Q464" s="145"/>
      <c r="R464" s="145"/>
      <c r="S464" s="145"/>
      <c r="T464" s="145"/>
      <c r="U464" s="145"/>
      <c r="V464" s="145"/>
      <c r="W464" s="145"/>
      <c r="X464" s="145"/>
      <c r="Y464" s="145"/>
      <c r="Z464" s="145"/>
    </row>
    <row r="465" spans="1:26" ht="15.75" x14ac:dyDescent="0.25">
      <c r="A465" s="145"/>
      <c r="B465" s="145"/>
      <c r="C465" s="145"/>
      <c r="D465" s="145"/>
      <c r="E465" s="145"/>
      <c r="F465" s="145"/>
      <c r="G465" s="145"/>
      <c r="H465" s="145"/>
      <c r="I465" s="145"/>
      <c r="J465" s="145"/>
      <c r="K465" s="145"/>
      <c r="L465" s="145"/>
      <c r="M465" s="145"/>
      <c r="N465" s="145"/>
      <c r="O465" s="145"/>
      <c r="P465" s="145"/>
      <c r="Q465" s="145"/>
      <c r="R465" s="145"/>
      <c r="S465" s="145"/>
      <c r="T465" s="145"/>
      <c r="U465" s="145"/>
      <c r="V465" s="145"/>
      <c r="W465" s="145"/>
      <c r="X465" s="145"/>
      <c r="Y465" s="145"/>
      <c r="Z465" s="145"/>
    </row>
    <row r="466" spans="1:26" ht="15.75" x14ac:dyDescent="0.25">
      <c r="A466" s="145"/>
      <c r="B466" s="145"/>
      <c r="C466" s="145"/>
      <c r="D466" s="145"/>
      <c r="E466" s="145"/>
      <c r="F466" s="145"/>
      <c r="G466" s="145"/>
      <c r="H466" s="145"/>
      <c r="I466" s="145"/>
      <c r="J466" s="145"/>
      <c r="K466" s="145"/>
      <c r="L466" s="145"/>
      <c r="M466" s="145"/>
      <c r="N466" s="145"/>
      <c r="O466" s="145"/>
      <c r="P466" s="145"/>
      <c r="Q466" s="145"/>
      <c r="R466" s="145"/>
      <c r="S466" s="145"/>
      <c r="T466" s="145"/>
      <c r="U466" s="145"/>
      <c r="V466" s="145"/>
      <c r="W466" s="145"/>
      <c r="X466" s="145"/>
      <c r="Y466" s="145"/>
      <c r="Z466" s="145"/>
    </row>
    <row r="467" spans="1:26" ht="15.75" x14ac:dyDescent="0.25">
      <c r="A467" s="145"/>
      <c r="B467" s="145"/>
      <c r="C467" s="145"/>
      <c r="D467" s="145"/>
      <c r="E467" s="145"/>
      <c r="F467" s="145"/>
      <c r="G467" s="145"/>
      <c r="H467" s="145"/>
      <c r="I467" s="145"/>
      <c r="J467" s="145"/>
      <c r="K467" s="145"/>
      <c r="L467" s="145"/>
      <c r="M467" s="145"/>
      <c r="N467" s="145"/>
      <c r="O467" s="145"/>
      <c r="P467" s="145"/>
      <c r="Q467" s="145"/>
      <c r="R467" s="145"/>
      <c r="S467" s="145"/>
      <c r="T467" s="145"/>
      <c r="U467" s="145"/>
      <c r="V467" s="145"/>
      <c r="W467" s="145"/>
      <c r="X467" s="145"/>
      <c r="Y467" s="145"/>
      <c r="Z467" s="145"/>
    </row>
    <row r="468" spans="1:26" ht="15.75" x14ac:dyDescent="0.25">
      <c r="A468" s="145"/>
      <c r="B468" s="145"/>
      <c r="C468" s="145"/>
      <c r="D468" s="145"/>
      <c r="E468" s="145"/>
      <c r="F468" s="145"/>
      <c r="G468" s="145"/>
      <c r="H468" s="145"/>
      <c r="I468" s="145"/>
      <c r="J468" s="145"/>
      <c r="K468" s="145"/>
      <c r="L468" s="145"/>
      <c r="M468" s="145"/>
      <c r="N468" s="145"/>
      <c r="O468" s="145"/>
      <c r="P468" s="145"/>
      <c r="Q468" s="145"/>
      <c r="R468" s="145"/>
      <c r="S468" s="145"/>
      <c r="T468" s="145"/>
      <c r="U468" s="145"/>
      <c r="V468" s="145"/>
      <c r="W468" s="145"/>
      <c r="X468" s="145"/>
      <c r="Y468" s="145"/>
      <c r="Z468" s="145"/>
    </row>
    <row r="469" spans="1:26" ht="15.75" x14ac:dyDescent="0.25">
      <c r="A469" s="145"/>
      <c r="B469" s="145"/>
      <c r="C469" s="145"/>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5"/>
      <c r="Z469" s="145"/>
    </row>
    <row r="470" spans="1:26" ht="15.75" x14ac:dyDescent="0.25">
      <c r="A470" s="145"/>
      <c r="B470" s="145"/>
      <c r="C470" s="145"/>
      <c r="D470" s="145"/>
      <c r="E470" s="145"/>
      <c r="F470" s="145"/>
      <c r="G470" s="145"/>
      <c r="H470" s="145"/>
      <c r="I470" s="145"/>
      <c r="J470" s="145"/>
      <c r="K470" s="145"/>
      <c r="L470" s="145"/>
      <c r="M470" s="145"/>
      <c r="N470" s="145"/>
      <c r="O470" s="145"/>
      <c r="P470" s="145"/>
      <c r="Q470" s="145"/>
      <c r="R470" s="145"/>
      <c r="S470" s="145"/>
      <c r="T470" s="145"/>
      <c r="U470" s="145"/>
      <c r="V470" s="145"/>
      <c r="W470" s="145"/>
      <c r="X470" s="145"/>
      <c r="Y470" s="145"/>
      <c r="Z470" s="145"/>
    </row>
    <row r="471" spans="1:26" ht="15.75" x14ac:dyDescent="0.25">
      <c r="A471" s="145"/>
      <c r="B471" s="145"/>
      <c r="C471" s="145"/>
      <c r="D471" s="145"/>
      <c r="E471" s="145"/>
      <c r="F471" s="145"/>
      <c r="G471" s="145"/>
      <c r="H471" s="145"/>
      <c r="I471" s="145"/>
      <c r="J471" s="145"/>
      <c r="K471" s="145"/>
      <c r="L471" s="145"/>
      <c r="M471" s="145"/>
      <c r="N471" s="145"/>
      <c r="O471" s="145"/>
      <c r="P471" s="145"/>
      <c r="Q471" s="145"/>
      <c r="R471" s="145"/>
      <c r="S471" s="145"/>
      <c r="T471" s="145"/>
      <c r="U471" s="145"/>
      <c r="V471" s="145"/>
      <c r="W471" s="145"/>
      <c r="X471" s="145"/>
      <c r="Y471" s="145"/>
      <c r="Z471" s="145"/>
    </row>
    <row r="472" spans="1:26" ht="15.75" x14ac:dyDescent="0.25">
      <c r="A472" s="145"/>
      <c r="B472" s="145"/>
      <c r="C472" s="145"/>
      <c r="D472" s="145"/>
      <c r="E472" s="145"/>
      <c r="F472" s="145"/>
      <c r="G472" s="145"/>
      <c r="H472" s="145"/>
      <c r="I472" s="145"/>
      <c r="J472" s="145"/>
      <c r="K472" s="145"/>
      <c r="L472" s="145"/>
      <c r="M472" s="145"/>
      <c r="N472" s="145"/>
      <c r="O472" s="145"/>
      <c r="P472" s="145"/>
      <c r="Q472" s="145"/>
      <c r="R472" s="145"/>
      <c r="S472" s="145"/>
      <c r="T472" s="145"/>
      <c r="U472" s="145"/>
      <c r="V472" s="145"/>
      <c r="W472" s="145"/>
      <c r="X472" s="145"/>
      <c r="Y472" s="145"/>
      <c r="Z472" s="145"/>
    </row>
    <row r="473" spans="1:26" ht="15.75" x14ac:dyDescent="0.25">
      <c r="A473" s="145"/>
      <c r="B473" s="145"/>
      <c r="C473" s="145"/>
      <c r="D473" s="145"/>
      <c r="E473" s="145"/>
      <c r="F473" s="145"/>
      <c r="G473" s="145"/>
      <c r="H473" s="145"/>
      <c r="I473" s="145"/>
      <c r="J473" s="145"/>
      <c r="K473" s="145"/>
      <c r="L473" s="145"/>
      <c r="M473" s="145"/>
      <c r="N473" s="145"/>
      <c r="O473" s="145"/>
      <c r="P473" s="145"/>
      <c r="Q473" s="145"/>
      <c r="R473" s="145"/>
      <c r="S473" s="145"/>
      <c r="T473" s="145"/>
      <c r="U473" s="145"/>
      <c r="V473" s="145"/>
      <c r="W473" s="145"/>
      <c r="X473" s="145"/>
      <c r="Y473" s="145"/>
      <c r="Z473" s="145"/>
    </row>
    <row r="474" spans="1:26" ht="15.75" x14ac:dyDescent="0.25">
      <c r="A474" s="145"/>
      <c r="B474" s="145"/>
      <c r="C474" s="145"/>
      <c r="D474" s="145"/>
      <c r="E474" s="145"/>
      <c r="F474" s="145"/>
      <c r="G474" s="145"/>
      <c r="H474" s="145"/>
      <c r="I474" s="145"/>
      <c r="J474" s="145"/>
      <c r="K474" s="145"/>
      <c r="L474" s="145"/>
      <c r="M474" s="145"/>
      <c r="N474" s="145"/>
      <c r="O474" s="145"/>
      <c r="P474" s="145"/>
      <c r="Q474" s="145"/>
      <c r="R474" s="145"/>
      <c r="S474" s="145"/>
      <c r="T474" s="145"/>
      <c r="U474" s="145"/>
      <c r="V474" s="145"/>
      <c r="W474" s="145"/>
      <c r="X474" s="145"/>
      <c r="Y474" s="145"/>
      <c r="Z474" s="145"/>
    </row>
    <row r="475" spans="1:26" ht="15.75" x14ac:dyDescent="0.25">
      <c r="A475" s="145"/>
      <c r="B475" s="145"/>
      <c r="C475" s="145"/>
      <c r="D475" s="145"/>
      <c r="E475" s="145"/>
      <c r="F475" s="145"/>
      <c r="G475" s="145"/>
      <c r="H475" s="145"/>
      <c r="I475" s="145"/>
      <c r="J475" s="145"/>
      <c r="K475" s="145"/>
      <c r="L475" s="145"/>
      <c r="M475" s="145"/>
      <c r="N475" s="145"/>
      <c r="O475" s="145"/>
      <c r="P475" s="145"/>
      <c r="Q475" s="145"/>
      <c r="R475" s="145"/>
      <c r="S475" s="145"/>
      <c r="T475" s="145"/>
      <c r="U475" s="145"/>
      <c r="V475" s="145"/>
      <c r="W475" s="145"/>
      <c r="X475" s="145"/>
      <c r="Y475" s="145"/>
      <c r="Z475" s="145"/>
    </row>
    <row r="476" spans="1:26" ht="15.75" x14ac:dyDescent="0.25">
      <c r="A476" s="145"/>
      <c r="B476" s="145"/>
      <c r="C476" s="145"/>
      <c r="D476" s="145"/>
      <c r="E476" s="145"/>
      <c r="F476" s="145"/>
      <c r="G476" s="145"/>
      <c r="H476" s="145"/>
      <c r="I476" s="145"/>
      <c r="J476" s="145"/>
      <c r="K476" s="145"/>
      <c r="L476" s="145"/>
      <c r="M476" s="145"/>
      <c r="N476" s="145"/>
      <c r="O476" s="145"/>
      <c r="P476" s="145"/>
      <c r="Q476" s="145"/>
      <c r="R476" s="145"/>
      <c r="S476" s="145"/>
      <c r="T476" s="145"/>
      <c r="U476" s="145"/>
      <c r="V476" s="145"/>
      <c r="W476" s="145"/>
      <c r="X476" s="145"/>
      <c r="Y476" s="145"/>
      <c r="Z476" s="145"/>
    </row>
    <row r="477" spans="1:26" ht="15.75" x14ac:dyDescent="0.25">
      <c r="A477" s="145"/>
      <c r="B477" s="145"/>
      <c r="C477" s="145"/>
      <c r="D477" s="145"/>
      <c r="E477" s="145"/>
      <c r="F477" s="145"/>
      <c r="G477" s="145"/>
      <c r="H477" s="145"/>
      <c r="I477" s="145"/>
      <c r="J477" s="145"/>
      <c r="K477" s="145"/>
      <c r="L477" s="145"/>
      <c r="M477" s="145"/>
      <c r="N477" s="145"/>
      <c r="O477" s="145"/>
      <c r="P477" s="145"/>
      <c r="Q477" s="145"/>
      <c r="R477" s="145"/>
      <c r="S477" s="145"/>
      <c r="T477" s="145"/>
      <c r="U477" s="145"/>
      <c r="V477" s="145"/>
      <c r="W477" s="145"/>
      <c r="X477" s="145"/>
      <c r="Y477" s="145"/>
      <c r="Z477" s="145"/>
    </row>
    <row r="478" spans="1:26" ht="15.75" x14ac:dyDescent="0.25">
      <c r="A478" s="145"/>
      <c r="B478" s="145"/>
      <c r="C478" s="145"/>
      <c r="D478" s="145"/>
      <c r="E478" s="145"/>
      <c r="F478" s="145"/>
      <c r="G478" s="145"/>
      <c r="H478" s="145"/>
      <c r="I478" s="145"/>
      <c r="J478" s="145"/>
      <c r="K478" s="145"/>
      <c r="L478" s="145"/>
      <c r="M478" s="145"/>
      <c r="N478" s="145"/>
      <c r="O478" s="145"/>
      <c r="P478" s="145"/>
      <c r="Q478" s="145"/>
      <c r="R478" s="145"/>
      <c r="S478" s="145"/>
      <c r="T478" s="145"/>
      <c r="U478" s="145"/>
      <c r="V478" s="145"/>
      <c r="W478" s="145"/>
      <c r="X478" s="145"/>
      <c r="Y478" s="145"/>
      <c r="Z478" s="145"/>
    </row>
    <row r="479" spans="1:26" ht="15.75" x14ac:dyDescent="0.25">
      <c r="A479" s="145"/>
      <c r="B479" s="145"/>
      <c r="C479" s="145"/>
      <c r="D479" s="145"/>
      <c r="E479" s="145"/>
      <c r="F479" s="145"/>
      <c r="G479" s="145"/>
      <c r="H479" s="145"/>
      <c r="I479" s="145"/>
      <c r="J479" s="145"/>
      <c r="K479" s="145"/>
      <c r="L479" s="145"/>
      <c r="M479" s="145"/>
      <c r="N479" s="145"/>
      <c r="O479" s="145"/>
      <c r="P479" s="145"/>
      <c r="Q479" s="145"/>
      <c r="R479" s="145"/>
      <c r="S479" s="145"/>
      <c r="T479" s="145"/>
      <c r="U479" s="145"/>
      <c r="V479" s="145"/>
      <c r="W479" s="145"/>
      <c r="X479" s="145"/>
      <c r="Y479" s="145"/>
      <c r="Z479" s="145"/>
    </row>
    <row r="480" spans="1:26" ht="15.75" x14ac:dyDescent="0.25">
      <c r="A480" s="145"/>
      <c r="B480" s="145"/>
      <c r="C480" s="145"/>
      <c r="D480" s="145"/>
      <c r="E480" s="145"/>
      <c r="F480" s="145"/>
      <c r="G480" s="145"/>
      <c r="H480" s="145"/>
      <c r="I480" s="145"/>
      <c r="J480" s="145"/>
      <c r="K480" s="145"/>
      <c r="L480" s="145"/>
      <c r="M480" s="145"/>
      <c r="N480" s="145"/>
      <c r="O480" s="145"/>
      <c r="P480" s="145"/>
      <c r="Q480" s="145"/>
      <c r="R480" s="145"/>
      <c r="S480" s="145"/>
      <c r="T480" s="145"/>
      <c r="U480" s="145"/>
      <c r="V480" s="145"/>
      <c r="W480" s="145"/>
      <c r="X480" s="145"/>
      <c r="Y480" s="145"/>
      <c r="Z480" s="145"/>
    </row>
    <row r="481" spans="1:26" ht="15.75" x14ac:dyDescent="0.25">
      <c r="A481" s="145"/>
      <c r="B481" s="145"/>
      <c r="C481" s="145"/>
      <c r="D481" s="145"/>
      <c r="E481" s="145"/>
      <c r="F481" s="145"/>
      <c r="G481" s="145"/>
      <c r="H481" s="145"/>
      <c r="I481" s="145"/>
      <c r="J481" s="145"/>
      <c r="K481" s="145"/>
      <c r="L481" s="145"/>
      <c r="M481" s="145"/>
      <c r="N481" s="145"/>
      <c r="O481" s="145"/>
      <c r="P481" s="145"/>
      <c r="Q481" s="145"/>
      <c r="R481" s="145"/>
      <c r="S481" s="145"/>
      <c r="T481" s="145"/>
      <c r="U481" s="145"/>
      <c r="V481" s="145"/>
      <c r="W481" s="145"/>
      <c r="X481" s="145"/>
      <c r="Y481" s="145"/>
      <c r="Z481" s="145"/>
    </row>
    <row r="482" spans="1:26" ht="15.75" x14ac:dyDescent="0.25">
      <c r="A482" s="145"/>
      <c r="B482" s="145"/>
      <c r="C482" s="145"/>
      <c r="D482" s="145"/>
      <c r="E482" s="145"/>
      <c r="F482" s="145"/>
      <c r="G482" s="145"/>
      <c r="H482" s="145"/>
      <c r="I482" s="145"/>
      <c r="J482" s="145"/>
      <c r="K482" s="145"/>
      <c r="L482" s="145"/>
      <c r="M482" s="145"/>
      <c r="N482" s="145"/>
      <c r="O482" s="145"/>
      <c r="P482" s="145"/>
      <c r="Q482" s="145"/>
      <c r="R482" s="145"/>
      <c r="S482" s="145"/>
      <c r="T482" s="145"/>
      <c r="U482" s="145"/>
      <c r="V482" s="145"/>
      <c r="W482" s="145"/>
      <c r="X482" s="145"/>
      <c r="Y482" s="145"/>
      <c r="Z482" s="145"/>
    </row>
    <row r="483" spans="1:26" ht="15.75" x14ac:dyDescent="0.25">
      <c r="A483" s="145"/>
      <c r="B483" s="145"/>
      <c r="C483" s="145"/>
      <c r="D483" s="145"/>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row>
    <row r="484" spans="1:26" ht="15.75" x14ac:dyDescent="0.25">
      <c r="A484" s="145"/>
      <c r="B484" s="145"/>
      <c r="C484" s="145"/>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row>
    <row r="485" spans="1:26" ht="15.75" x14ac:dyDescent="0.25">
      <c r="A485" s="145"/>
      <c r="B485" s="145"/>
      <c r="C485" s="145"/>
      <c r="D485" s="145"/>
      <c r="E485" s="145"/>
      <c r="F485" s="145"/>
      <c r="G485" s="145"/>
      <c r="H485" s="145"/>
      <c r="I485" s="145"/>
      <c r="J485" s="145"/>
      <c r="K485" s="145"/>
      <c r="L485" s="145"/>
      <c r="M485" s="145"/>
      <c r="N485" s="145"/>
      <c r="O485" s="145"/>
      <c r="P485" s="145"/>
      <c r="Q485" s="145"/>
      <c r="R485" s="145"/>
      <c r="S485" s="145"/>
      <c r="T485" s="145"/>
      <c r="U485" s="145"/>
      <c r="V485" s="145"/>
      <c r="W485" s="145"/>
      <c r="X485" s="145"/>
      <c r="Y485" s="145"/>
      <c r="Z485" s="145"/>
    </row>
    <row r="486" spans="1:26" ht="15.75" x14ac:dyDescent="0.25">
      <c r="A486" s="145"/>
      <c r="B486" s="145"/>
      <c r="C486" s="145"/>
      <c r="D486" s="145"/>
      <c r="E486" s="145"/>
      <c r="F486" s="145"/>
      <c r="G486" s="145"/>
      <c r="H486" s="145"/>
      <c r="I486" s="145"/>
      <c r="J486" s="145"/>
      <c r="K486" s="145"/>
      <c r="L486" s="145"/>
      <c r="M486" s="145"/>
      <c r="N486" s="145"/>
      <c r="O486" s="145"/>
      <c r="P486" s="145"/>
      <c r="Q486" s="145"/>
      <c r="R486" s="145"/>
      <c r="S486" s="145"/>
      <c r="T486" s="145"/>
      <c r="U486" s="145"/>
      <c r="V486" s="145"/>
      <c r="W486" s="145"/>
      <c r="X486" s="145"/>
      <c r="Y486" s="145"/>
      <c r="Z486" s="145"/>
    </row>
    <row r="487" spans="1:26" ht="15.75" x14ac:dyDescent="0.25">
      <c r="A487" s="145"/>
      <c r="B487" s="145"/>
      <c r="C487" s="145"/>
      <c r="D487" s="145"/>
      <c r="E487" s="145"/>
      <c r="F487" s="145"/>
      <c r="G487" s="145"/>
      <c r="H487" s="145"/>
      <c r="I487" s="145"/>
      <c r="J487" s="145"/>
      <c r="K487" s="145"/>
      <c r="L487" s="145"/>
      <c r="M487" s="145"/>
      <c r="N487" s="145"/>
      <c r="O487" s="145"/>
      <c r="P487" s="145"/>
      <c r="Q487" s="145"/>
      <c r="R487" s="145"/>
      <c r="S487" s="145"/>
      <c r="T487" s="145"/>
      <c r="U487" s="145"/>
      <c r="V487" s="145"/>
      <c r="W487" s="145"/>
      <c r="X487" s="145"/>
      <c r="Y487" s="145"/>
      <c r="Z487" s="145"/>
    </row>
    <row r="488" spans="1:26" ht="15.75" x14ac:dyDescent="0.25">
      <c r="A488" s="145"/>
      <c r="B488" s="145"/>
      <c r="C488" s="145"/>
      <c r="D488" s="145"/>
      <c r="E488" s="145"/>
      <c r="F488" s="145"/>
      <c r="G488" s="145"/>
      <c r="H488" s="145"/>
      <c r="I488" s="145"/>
      <c r="J488" s="145"/>
      <c r="K488" s="145"/>
      <c r="L488" s="145"/>
      <c r="M488" s="145"/>
      <c r="N488" s="145"/>
      <c r="O488" s="145"/>
      <c r="P488" s="145"/>
      <c r="Q488" s="145"/>
      <c r="R488" s="145"/>
      <c r="S488" s="145"/>
      <c r="T488" s="145"/>
      <c r="U488" s="145"/>
      <c r="V488" s="145"/>
      <c r="W488" s="145"/>
      <c r="X488" s="145"/>
      <c r="Y488" s="145"/>
      <c r="Z488" s="145"/>
    </row>
    <row r="489" spans="1:26" ht="15.75" x14ac:dyDescent="0.25">
      <c r="A489" s="145"/>
      <c r="B489" s="145"/>
      <c r="C489" s="145"/>
      <c r="D489" s="145"/>
      <c r="E489" s="145"/>
      <c r="F489" s="145"/>
      <c r="G489" s="145"/>
      <c r="H489" s="145"/>
      <c r="I489" s="145"/>
      <c r="J489" s="145"/>
      <c r="K489" s="145"/>
      <c r="L489" s="145"/>
      <c r="M489" s="145"/>
      <c r="N489" s="145"/>
      <c r="O489" s="145"/>
      <c r="P489" s="145"/>
      <c r="Q489" s="145"/>
      <c r="R489" s="145"/>
      <c r="S489" s="145"/>
      <c r="T489" s="145"/>
      <c r="U489" s="145"/>
      <c r="V489" s="145"/>
      <c r="W489" s="145"/>
      <c r="X489" s="145"/>
      <c r="Y489" s="145"/>
      <c r="Z489" s="145"/>
    </row>
    <row r="490" spans="1:26" ht="15.75" x14ac:dyDescent="0.25">
      <c r="A490" s="145"/>
      <c r="B490" s="145"/>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5"/>
      <c r="Z490" s="145"/>
    </row>
    <row r="491" spans="1:26" ht="15.75" x14ac:dyDescent="0.25">
      <c r="A491" s="145"/>
      <c r="B491" s="145"/>
      <c r="C491" s="145"/>
      <c r="D491" s="145"/>
      <c r="E491" s="145"/>
      <c r="F491" s="145"/>
      <c r="G491" s="145"/>
      <c r="H491" s="145"/>
      <c r="I491" s="145"/>
      <c r="J491" s="145"/>
      <c r="K491" s="145"/>
      <c r="L491" s="145"/>
      <c r="M491" s="145"/>
      <c r="N491" s="145"/>
      <c r="O491" s="145"/>
      <c r="P491" s="145"/>
      <c r="Q491" s="145"/>
      <c r="R491" s="145"/>
      <c r="S491" s="145"/>
      <c r="T491" s="145"/>
      <c r="U491" s="145"/>
      <c r="V491" s="145"/>
      <c r="W491" s="145"/>
      <c r="X491" s="145"/>
      <c r="Y491" s="145"/>
      <c r="Z491" s="145"/>
    </row>
    <row r="492" spans="1:26" ht="15.75" x14ac:dyDescent="0.25">
      <c r="A492" s="145"/>
      <c r="B492" s="145"/>
      <c r="C492" s="145"/>
      <c r="D492" s="145"/>
      <c r="E492" s="145"/>
      <c r="F492" s="145"/>
      <c r="G492" s="145"/>
      <c r="H492" s="145"/>
      <c r="I492" s="145"/>
      <c r="J492" s="145"/>
      <c r="K492" s="145"/>
      <c r="L492" s="145"/>
      <c r="M492" s="145"/>
      <c r="N492" s="145"/>
      <c r="O492" s="145"/>
      <c r="P492" s="145"/>
      <c r="Q492" s="145"/>
      <c r="R492" s="145"/>
      <c r="S492" s="145"/>
      <c r="T492" s="145"/>
      <c r="U492" s="145"/>
      <c r="V492" s="145"/>
      <c r="W492" s="145"/>
      <c r="X492" s="145"/>
      <c r="Y492" s="145"/>
      <c r="Z492" s="145"/>
    </row>
    <row r="493" spans="1:26" ht="15.75" x14ac:dyDescent="0.25">
      <c r="A493" s="145"/>
      <c r="B493" s="145"/>
      <c r="C493" s="145"/>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5"/>
      <c r="Z493" s="145"/>
    </row>
    <row r="494" spans="1:26" ht="15.75" x14ac:dyDescent="0.25">
      <c r="A494" s="145"/>
      <c r="B494" s="145"/>
      <c r="C494" s="145"/>
      <c r="D494" s="145"/>
      <c r="E494" s="145"/>
      <c r="F494" s="145"/>
      <c r="G494" s="145"/>
      <c r="H494" s="145"/>
      <c r="I494" s="145"/>
      <c r="J494" s="145"/>
      <c r="K494" s="145"/>
      <c r="L494" s="145"/>
      <c r="M494" s="145"/>
      <c r="N494" s="145"/>
      <c r="O494" s="145"/>
      <c r="P494" s="145"/>
      <c r="Q494" s="145"/>
      <c r="R494" s="145"/>
      <c r="S494" s="145"/>
      <c r="T494" s="145"/>
      <c r="U494" s="145"/>
      <c r="V494" s="145"/>
      <c r="W494" s="145"/>
      <c r="X494" s="145"/>
      <c r="Y494" s="145"/>
      <c r="Z494" s="145"/>
    </row>
    <row r="495" spans="1:26" ht="15.75" x14ac:dyDescent="0.25">
      <c r="A495" s="145"/>
      <c r="B495" s="145"/>
      <c r="C495" s="145"/>
      <c r="D495" s="145"/>
      <c r="E495" s="145"/>
      <c r="F495" s="145"/>
      <c r="G495" s="145"/>
      <c r="H495" s="145"/>
      <c r="I495" s="145"/>
      <c r="J495" s="145"/>
      <c r="K495" s="145"/>
      <c r="L495" s="145"/>
      <c r="M495" s="145"/>
      <c r="N495" s="145"/>
      <c r="O495" s="145"/>
      <c r="P495" s="145"/>
      <c r="Q495" s="145"/>
      <c r="R495" s="145"/>
      <c r="S495" s="145"/>
      <c r="T495" s="145"/>
      <c r="U495" s="145"/>
      <c r="V495" s="145"/>
      <c r="W495" s="145"/>
      <c r="X495" s="145"/>
      <c r="Y495" s="145"/>
      <c r="Z495" s="145"/>
    </row>
    <row r="496" spans="1:26" ht="15.75" x14ac:dyDescent="0.25">
      <c r="A496" s="145"/>
      <c r="B496" s="145"/>
      <c r="C496" s="145"/>
      <c r="D496" s="145"/>
      <c r="E496" s="145"/>
      <c r="F496" s="145"/>
      <c r="G496" s="145"/>
      <c r="H496" s="145"/>
      <c r="I496" s="145"/>
      <c r="J496" s="145"/>
      <c r="K496" s="145"/>
      <c r="L496" s="145"/>
      <c r="M496" s="145"/>
      <c r="N496" s="145"/>
      <c r="O496" s="145"/>
      <c r="P496" s="145"/>
      <c r="Q496" s="145"/>
      <c r="R496" s="145"/>
      <c r="S496" s="145"/>
      <c r="T496" s="145"/>
      <c r="U496" s="145"/>
      <c r="V496" s="145"/>
      <c r="W496" s="145"/>
      <c r="X496" s="145"/>
      <c r="Y496" s="145"/>
      <c r="Z496" s="145"/>
    </row>
    <row r="497" spans="1:26" ht="15.75" x14ac:dyDescent="0.25">
      <c r="A497" s="145"/>
      <c r="B497" s="145"/>
      <c r="C497" s="145"/>
      <c r="D497" s="145"/>
      <c r="E497" s="145"/>
      <c r="F497" s="145"/>
      <c r="G497" s="145"/>
      <c r="H497" s="145"/>
      <c r="I497" s="145"/>
      <c r="J497" s="145"/>
      <c r="K497" s="145"/>
      <c r="L497" s="145"/>
      <c r="M497" s="145"/>
      <c r="N497" s="145"/>
      <c r="O497" s="145"/>
      <c r="P497" s="145"/>
      <c r="Q497" s="145"/>
      <c r="R497" s="145"/>
      <c r="S497" s="145"/>
      <c r="T497" s="145"/>
      <c r="U497" s="145"/>
      <c r="V497" s="145"/>
      <c r="W497" s="145"/>
      <c r="X497" s="145"/>
      <c r="Y497" s="145"/>
      <c r="Z497" s="145"/>
    </row>
    <row r="498" spans="1:26" ht="15.75" x14ac:dyDescent="0.25">
      <c r="A498" s="145"/>
      <c r="B498" s="145"/>
      <c r="C498" s="145"/>
      <c r="D498" s="145"/>
      <c r="E498" s="145"/>
      <c r="F498" s="145"/>
      <c r="G498" s="145"/>
      <c r="H498" s="145"/>
      <c r="I498" s="145"/>
      <c r="J498" s="145"/>
      <c r="K498" s="145"/>
      <c r="L498" s="145"/>
      <c r="M498" s="145"/>
      <c r="N498" s="145"/>
      <c r="O498" s="145"/>
      <c r="P498" s="145"/>
      <c r="Q498" s="145"/>
      <c r="R498" s="145"/>
      <c r="S498" s="145"/>
      <c r="T498" s="145"/>
      <c r="U498" s="145"/>
      <c r="V498" s="145"/>
      <c r="W498" s="145"/>
      <c r="X498" s="145"/>
      <c r="Y498" s="145"/>
      <c r="Z498" s="145"/>
    </row>
    <row r="499" spans="1:26" ht="15.75" x14ac:dyDescent="0.25">
      <c r="A499" s="145"/>
      <c r="B499" s="145"/>
      <c r="C499" s="145"/>
      <c r="D499" s="145"/>
      <c r="E499" s="145"/>
      <c r="F499" s="145"/>
      <c r="G499" s="145"/>
      <c r="H499" s="145"/>
      <c r="I499" s="145"/>
      <c r="J499" s="145"/>
      <c r="K499" s="145"/>
      <c r="L499" s="145"/>
      <c r="M499" s="145"/>
      <c r="N499" s="145"/>
      <c r="O499" s="145"/>
      <c r="P499" s="145"/>
      <c r="Q499" s="145"/>
      <c r="R499" s="145"/>
      <c r="S499" s="145"/>
      <c r="T499" s="145"/>
      <c r="U499" s="145"/>
      <c r="V499" s="145"/>
      <c r="W499" s="145"/>
      <c r="X499" s="145"/>
      <c r="Y499" s="145"/>
      <c r="Z499" s="145"/>
    </row>
    <row r="500" spans="1:26" ht="15.75" x14ac:dyDescent="0.25">
      <c r="A500" s="145"/>
      <c r="B500" s="145"/>
      <c r="C500" s="145"/>
      <c r="D500" s="145"/>
      <c r="E500" s="145"/>
      <c r="F500" s="145"/>
      <c r="G500" s="145"/>
      <c r="H500" s="145"/>
      <c r="I500" s="145"/>
      <c r="J500" s="145"/>
      <c r="K500" s="145"/>
      <c r="L500" s="145"/>
      <c r="M500" s="145"/>
      <c r="N500" s="145"/>
      <c r="O500" s="145"/>
      <c r="P500" s="145"/>
      <c r="Q500" s="145"/>
      <c r="R500" s="145"/>
      <c r="S500" s="145"/>
      <c r="T500" s="145"/>
      <c r="U500" s="145"/>
      <c r="V500" s="145"/>
      <c r="W500" s="145"/>
      <c r="X500" s="145"/>
      <c r="Y500" s="145"/>
      <c r="Z500" s="145"/>
    </row>
    <row r="501" spans="1:26" ht="15.75" x14ac:dyDescent="0.25">
      <c r="A501" s="145"/>
      <c r="B501" s="145"/>
      <c r="C501" s="145"/>
      <c r="D501" s="145"/>
      <c r="E501" s="145"/>
      <c r="F501" s="145"/>
      <c r="G501" s="145"/>
      <c r="H501" s="145"/>
      <c r="I501" s="145"/>
      <c r="J501" s="145"/>
      <c r="K501" s="145"/>
      <c r="L501" s="145"/>
      <c r="M501" s="145"/>
      <c r="N501" s="145"/>
      <c r="O501" s="145"/>
      <c r="P501" s="145"/>
      <c r="Q501" s="145"/>
      <c r="R501" s="145"/>
      <c r="S501" s="145"/>
      <c r="T501" s="145"/>
      <c r="U501" s="145"/>
      <c r="V501" s="145"/>
      <c r="W501" s="145"/>
      <c r="X501" s="145"/>
      <c r="Y501" s="145"/>
      <c r="Z501" s="145"/>
    </row>
    <row r="502" spans="1:26" ht="15.75" x14ac:dyDescent="0.25">
      <c r="A502" s="145"/>
      <c r="B502" s="145"/>
      <c r="C502" s="145"/>
      <c r="D502" s="145"/>
      <c r="E502" s="145"/>
      <c r="F502" s="145"/>
      <c r="G502" s="145"/>
      <c r="H502" s="145"/>
      <c r="I502" s="145"/>
      <c r="J502" s="145"/>
      <c r="K502" s="145"/>
      <c r="L502" s="145"/>
      <c r="M502" s="145"/>
      <c r="N502" s="145"/>
      <c r="O502" s="145"/>
      <c r="P502" s="145"/>
      <c r="Q502" s="145"/>
      <c r="R502" s="145"/>
      <c r="S502" s="145"/>
      <c r="T502" s="145"/>
      <c r="U502" s="145"/>
      <c r="V502" s="145"/>
      <c r="W502" s="145"/>
      <c r="X502" s="145"/>
      <c r="Y502" s="145"/>
      <c r="Z502" s="145"/>
    </row>
    <row r="503" spans="1:26" ht="15.75" x14ac:dyDescent="0.25">
      <c r="A503" s="145"/>
      <c r="B503" s="145"/>
      <c r="C503" s="145"/>
      <c r="D503" s="145"/>
      <c r="E503" s="145"/>
      <c r="F503" s="145"/>
      <c r="G503" s="145"/>
      <c r="H503" s="145"/>
      <c r="I503" s="145"/>
      <c r="J503" s="145"/>
      <c r="K503" s="145"/>
      <c r="L503" s="145"/>
      <c r="M503" s="145"/>
      <c r="N503" s="145"/>
      <c r="O503" s="145"/>
      <c r="P503" s="145"/>
      <c r="Q503" s="145"/>
      <c r="R503" s="145"/>
      <c r="S503" s="145"/>
      <c r="T503" s="145"/>
      <c r="U503" s="145"/>
      <c r="V503" s="145"/>
      <c r="W503" s="145"/>
      <c r="X503" s="145"/>
      <c r="Y503" s="145"/>
      <c r="Z503" s="145"/>
    </row>
    <row r="504" spans="1:26" ht="15.75" x14ac:dyDescent="0.25">
      <c r="A504" s="145"/>
      <c r="B504" s="145"/>
      <c r="C504" s="145"/>
      <c r="D504" s="145"/>
      <c r="E504" s="145"/>
      <c r="F504" s="145"/>
      <c r="G504" s="145"/>
      <c r="H504" s="145"/>
      <c r="I504" s="145"/>
      <c r="J504" s="145"/>
      <c r="K504" s="145"/>
      <c r="L504" s="145"/>
      <c r="M504" s="145"/>
      <c r="N504" s="145"/>
      <c r="O504" s="145"/>
      <c r="P504" s="145"/>
      <c r="Q504" s="145"/>
      <c r="R504" s="145"/>
      <c r="S504" s="145"/>
      <c r="T504" s="145"/>
      <c r="U504" s="145"/>
      <c r="V504" s="145"/>
      <c r="W504" s="145"/>
      <c r="X504" s="145"/>
      <c r="Y504" s="145"/>
      <c r="Z504" s="145"/>
    </row>
    <row r="505" spans="1:26" ht="15.75" x14ac:dyDescent="0.25">
      <c r="A505" s="145"/>
      <c r="B505" s="145"/>
      <c r="C505" s="145"/>
      <c r="D505" s="145"/>
      <c r="E505" s="145"/>
      <c r="F505" s="145"/>
      <c r="G505" s="145"/>
      <c r="H505" s="145"/>
      <c r="I505" s="145"/>
      <c r="J505" s="145"/>
      <c r="K505" s="145"/>
      <c r="L505" s="145"/>
      <c r="M505" s="145"/>
      <c r="N505" s="145"/>
      <c r="O505" s="145"/>
      <c r="P505" s="145"/>
      <c r="Q505" s="145"/>
      <c r="R505" s="145"/>
      <c r="S505" s="145"/>
      <c r="T505" s="145"/>
      <c r="U505" s="145"/>
      <c r="V505" s="145"/>
      <c r="W505" s="145"/>
      <c r="X505" s="145"/>
      <c r="Y505" s="145"/>
      <c r="Z505" s="145"/>
    </row>
    <row r="506" spans="1:26" ht="15.75" x14ac:dyDescent="0.25">
      <c r="A506" s="145"/>
      <c r="B506" s="145"/>
      <c r="C506" s="145"/>
      <c r="D506" s="145"/>
      <c r="E506" s="145"/>
      <c r="F506" s="145"/>
      <c r="G506" s="145"/>
      <c r="H506" s="145"/>
      <c r="I506" s="145"/>
      <c r="J506" s="145"/>
      <c r="K506" s="145"/>
      <c r="L506" s="145"/>
      <c r="M506" s="145"/>
      <c r="N506" s="145"/>
      <c r="O506" s="145"/>
      <c r="P506" s="145"/>
      <c r="Q506" s="145"/>
      <c r="R506" s="145"/>
      <c r="S506" s="145"/>
      <c r="T506" s="145"/>
      <c r="U506" s="145"/>
      <c r="V506" s="145"/>
      <c r="W506" s="145"/>
      <c r="X506" s="145"/>
      <c r="Y506" s="145"/>
      <c r="Z506" s="145"/>
    </row>
    <row r="507" spans="1:26" ht="15.75" x14ac:dyDescent="0.25">
      <c r="A507" s="145"/>
      <c r="B507" s="145"/>
      <c r="C507" s="145"/>
      <c r="D507" s="145"/>
      <c r="E507" s="145"/>
      <c r="F507" s="145"/>
      <c r="G507" s="145"/>
      <c r="H507" s="145"/>
      <c r="I507" s="145"/>
      <c r="J507" s="145"/>
      <c r="K507" s="145"/>
      <c r="L507" s="145"/>
      <c r="M507" s="145"/>
      <c r="N507" s="145"/>
      <c r="O507" s="145"/>
      <c r="P507" s="145"/>
      <c r="Q507" s="145"/>
      <c r="R507" s="145"/>
      <c r="S507" s="145"/>
      <c r="T507" s="145"/>
      <c r="U507" s="145"/>
      <c r="V507" s="145"/>
      <c r="W507" s="145"/>
      <c r="X507" s="145"/>
      <c r="Y507" s="145"/>
      <c r="Z507" s="145"/>
    </row>
    <row r="508" spans="1:26" ht="15.75" x14ac:dyDescent="0.25">
      <c r="A508" s="145"/>
      <c r="B508" s="145"/>
      <c r="C508" s="145"/>
      <c r="D508" s="145"/>
      <c r="E508" s="145"/>
      <c r="F508" s="145"/>
      <c r="G508" s="145"/>
      <c r="H508" s="145"/>
      <c r="I508" s="145"/>
      <c r="J508" s="145"/>
      <c r="K508" s="145"/>
      <c r="L508" s="145"/>
      <c r="M508" s="145"/>
      <c r="N508" s="145"/>
      <c r="O508" s="145"/>
      <c r="P508" s="145"/>
      <c r="Q508" s="145"/>
      <c r="R508" s="145"/>
      <c r="S508" s="145"/>
      <c r="T508" s="145"/>
      <c r="U508" s="145"/>
      <c r="V508" s="145"/>
      <c r="W508" s="145"/>
      <c r="X508" s="145"/>
      <c r="Y508" s="145"/>
      <c r="Z508" s="145"/>
    </row>
    <row r="509" spans="1:26" ht="15.75" x14ac:dyDescent="0.25">
      <c r="A509" s="145"/>
      <c r="B509" s="145"/>
      <c r="C509" s="145"/>
      <c r="D509" s="145"/>
      <c r="E509" s="145"/>
      <c r="F509" s="145"/>
      <c r="G509" s="145"/>
      <c r="H509" s="145"/>
      <c r="I509" s="145"/>
      <c r="J509" s="145"/>
      <c r="K509" s="145"/>
      <c r="L509" s="145"/>
      <c r="M509" s="145"/>
      <c r="N509" s="145"/>
      <c r="O509" s="145"/>
      <c r="P509" s="145"/>
      <c r="Q509" s="145"/>
      <c r="R509" s="145"/>
      <c r="S509" s="145"/>
      <c r="T509" s="145"/>
      <c r="U509" s="145"/>
      <c r="V509" s="145"/>
      <c r="W509" s="145"/>
      <c r="X509" s="145"/>
      <c r="Y509" s="145"/>
      <c r="Z509" s="145"/>
    </row>
    <row r="510" spans="1:26" ht="15.75" x14ac:dyDescent="0.25">
      <c r="A510" s="145"/>
      <c r="B510" s="145"/>
      <c r="C510" s="145"/>
      <c r="D510" s="145"/>
      <c r="E510" s="145"/>
      <c r="F510" s="145"/>
      <c r="G510" s="145"/>
      <c r="H510" s="145"/>
      <c r="I510" s="145"/>
      <c r="J510" s="145"/>
      <c r="K510" s="145"/>
      <c r="L510" s="145"/>
      <c r="M510" s="145"/>
      <c r="N510" s="145"/>
      <c r="O510" s="145"/>
      <c r="P510" s="145"/>
      <c r="Q510" s="145"/>
      <c r="R510" s="145"/>
      <c r="S510" s="145"/>
      <c r="T510" s="145"/>
      <c r="U510" s="145"/>
      <c r="V510" s="145"/>
      <c r="W510" s="145"/>
      <c r="X510" s="145"/>
      <c r="Y510" s="145"/>
      <c r="Z510" s="145"/>
    </row>
    <row r="511" spans="1:26" ht="15.75" x14ac:dyDescent="0.25">
      <c r="A511" s="145"/>
      <c r="B511" s="145"/>
      <c r="C511" s="145"/>
      <c r="D511" s="145"/>
      <c r="E511" s="145"/>
      <c r="F511" s="145"/>
      <c r="G511" s="145"/>
      <c r="H511" s="145"/>
      <c r="I511" s="145"/>
      <c r="J511" s="145"/>
      <c r="K511" s="145"/>
      <c r="L511" s="145"/>
      <c r="M511" s="145"/>
      <c r="N511" s="145"/>
      <c r="O511" s="145"/>
      <c r="P511" s="145"/>
      <c r="Q511" s="145"/>
      <c r="R511" s="145"/>
      <c r="S511" s="145"/>
      <c r="T511" s="145"/>
      <c r="U511" s="145"/>
      <c r="V511" s="145"/>
      <c r="W511" s="145"/>
      <c r="X511" s="145"/>
      <c r="Y511" s="145"/>
      <c r="Z511" s="145"/>
    </row>
    <row r="512" spans="1:26" ht="15.75" x14ac:dyDescent="0.25">
      <c r="A512" s="145"/>
      <c r="B512" s="145"/>
      <c r="C512" s="145"/>
      <c r="D512" s="145"/>
      <c r="E512" s="145"/>
      <c r="F512" s="145"/>
      <c r="G512" s="145"/>
      <c r="H512" s="145"/>
      <c r="I512" s="145"/>
      <c r="J512" s="145"/>
      <c r="K512" s="145"/>
      <c r="L512" s="145"/>
      <c r="M512" s="145"/>
      <c r="N512" s="145"/>
      <c r="O512" s="145"/>
      <c r="P512" s="145"/>
      <c r="Q512" s="145"/>
      <c r="R512" s="145"/>
      <c r="S512" s="145"/>
      <c r="T512" s="145"/>
      <c r="U512" s="145"/>
      <c r="V512" s="145"/>
      <c r="W512" s="145"/>
      <c r="X512" s="145"/>
      <c r="Y512" s="145"/>
      <c r="Z512" s="145"/>
    </row>
    <row r="513" spans="1:26" ht="15.75" x14ac:dyDescent="0.25">
      <c r="A513" s="145"/>
      <c r="B513" s="145"/>
      <c r="C513" s="145"/>
      <c r="D513" s="145"/>
      <c r="E513" s="145"/>
      <c r="F513" s="145"/>
      <c r="G513" s="145"/>
      <c r="H513" s="145"/>
      <c r="I513" s="145"/>
      <c r="J513" s="145"/>
      <c r="K513" s="145"/>
      <c r="L513" s="145"/>
      <c r="M513" s="145"/>
      <c r="N513" s="145"/>
      <c r="O513" s="145"/>
      <c r="P513" s="145"/>
      <c r="Q513" s="145"/>
      <c r="R513" s="145"/>
      <c r="S513" s="145"/>
      <c r="T513" s="145"/>
      <c r="U513" s="145"/>
      <c r="V513" s="145"/>
      <c r="W513" s="145"/>
      <c r="X513" s="145"/>
      <c r="Y513" s="145"/>
      <c r="Z513" s="145"/>
    </row>
    <row r="514" spans="1:26" ht="15.75" x14ac:dyDescent="0.25">
      <c r="A514" s="145"/>
      <c r="B514" s="145"/>
      <c r="C514" s="145"/>
      <c r="D514" s="145"/>
      <c r="E514" s="145"/>
      <c r="F514" s="145"/>
      <c r="G514" s="145"/>
      <c r="H514" s="145"/>
      <c r="I514" s="145"/>
      <c r="J514" s="145"/>
      <c r="K514" s="145"/>
      <c r="L514" s="145"/>
      <c r="M514" s="145"/>
      <c r="N514" s="145"/>
      <c r="O514" s="145"/>
      <c r="P514" s="145"/>
      <c r="Q514" s="145"/>
      <c r="R514" s="145"/>
      <c r="S514" s="145"/>
      <c r="T514" s="145"/>
      <c r="U514" s="145"/>
      <c r="V514" s="145"/>
      <c r="W514" s="145"/>
      <c r="X514" s="145"/>
      <c r="Y514" s="145"/>
      <c r="Z514" s="145"/>
    </row>
    <row r="515" spans="1:26" ht="15.75" x14ac:dyDescent="0.25">
      <c r="A515" s="145"/>
      <c r="B515" s="145"/>
      <c r="C515" s="145"/>
      <c r="D515" s="145"/>
      <c r="E515" s="145"/>
      <c r="F515" s="145"/>
      <c r="G515" s="145"/>
      <c r="H515" s="145"/>
      <c r="I515" s="145"/>
      <c r="J515" s="145"/>
      <c r="K515" s="145"/>
      <c r="L515" s="145"/>
      <c r="M515" s="145"/>
      <c r="N515" s="145"/>
      <c r="O515" s="145"/>
      <c r="P515" s="145"/>
      <c r="Q515" s="145"/>
      <c r="R515" s="145"/>
      <c r="S515" s="145"/>
      <c r="T515" s="145"/>
      <c r="U515" s="145"/>
      <c r="V515" s="145"/>
      <c r="W515" s="145"/>
      <c r="X515" s="145"/>
      <c r="Y515" s="145"/>
      <c r="Z515" s="145"/>
    </row>
    <row r="516" spans="1:26" ht="15.75" x14ac:dyDescent="0.25">
      <c r="A516" s="145"/>
      <c r="B516" s="145"/>
      <c r="C516" s="145"/>
      <c r="D516" s="145"/>
      <c r="E516" s="145"/>
      <c r="F516" s="145"/>
      <c r="G516" s="145"/>
      <c r="H516" s="145"/>
      <c r="I516" s="145"/>
      <c r="J516" s="145"/>
      <c r="K516" s="145"/>
      <c r="L516" s="145"/>
      <c r="M516" s="145"/>
      <c r="N516" s="145"/>
      <c r="O516" s="145"/>
      <c r="P516" s="145"/>
      <c r="Q516" s="145"/>
      <c r="R516" s="145"/>
      <c r="S516" s="145"/>
      <c r="T516" s="145"/>
      <c r="U516" s="145"/>
      <c r="V516" s="145"/>
      <c r="W516" s="145"/>
      <c r="X516" s="145"/>
      <c r="Y516" s="145"/>
      <c r="Z516" s="145"/>
    </row>
    <row r="517" spans="1:26" ht="15.75" x14ac:dyDescent="0.25">
      <c r="A517" s="145"/>
      <c r="B517" s="145"/>
      <c r="C517" s="145"/>
      <c r="D517" s="145"/>
      <c r="E517" s="145"/>
      <c r="F517" s="145"/>
      <c r="G517" s="145"/>
      <c r="H517" s="145"/>
      <c r="I517" s="145"/>
      <c r="J517" s="145"/>
      <c r="K517" s="145"/>
      <c r="L517" s="145"/>
      <c r="M517" s="145"/>
      <c r="N517" s="145"/>
      <c r="O517" s="145"/>
      <c r="P517" s="145"/>
      <c r="Q517" s="145"/>
      <c r="R517" s="145"/>
      <c r="S517" s="145"/>
      <c r="T517" s="145"/>
      <c r="U517" s="145"/>
      <c r="V517" s="145"/>
      <c r="W517" s="145"/>
      <c r="X517" s="145"/>
      <c r="Y517" s="145"/>
      <c r="Z517" s="145"/>
    </row>
    <row r="518" spans="1:26" ht="15.75" x14ac:dyDescent="0.25">
      <c r="A518" s="145"/>
      <c r="B518" s="145"/>
      <c r="C518" s="145"/>
      <c r="D518" s="145"/>
      <c r="E518" s="145"/>
      <c r="F518" s="145"/>
      <c r="G518" s="145"/>
      <c r="H518" s="145"/>
      <c r="I518" s="145"/>
      <c r="J518" s="145"/>
      <c r="K518" s="145"/>
      <c r="L518" s="145"/>
      <c r="M518" s="145"/>
      <c r="N518" s="145"/>
      <c r="O518" s="145"/>
      <c r="P518" s="145"/>
      <c r="Q518" s="145"/>
      <c r="R518" s="145"/>
      <c r="S518" s="145"/>
      <c r="T518" s="145"/>
      <c r="U518" s="145"/>
      <c r="V518" s="145"/>
      <c r="W518" s="145"/>
      <c r="X518" s="145"/>
      <c r="Y518" s="145"/>
      <c r="Z518" s="145"/>
    </row>
    <row r="519" spans="1:26" ht="15.75" x14ac:dyDescent="0.25">
      <c r="A519" s="145"/>
      <c r="B519" s="145"/>
      <c r="C519" s="145"/>
      <c r="D519" s="145"/>
      <c r="E519" s="145"/>
      <c r="F519" s="145"/>
      <c r="G519" s="145"/>
      <c r="H519" s="145"/>
      <c r="I519" s="145"/>
      <c r="J519" s="145"/>
      <c r="K519" s="145"/>
      <c r="L519" s="145"/>
      <c r="M519" s="145"/>
      <c r="N519" s="145"/>
      <c r="O519" s="145"/>
      <c r="P519" s="145"/>
      <c r="Q519" s="145"/>
      <c r="R519" s="145"/>
      <c r="S519" s="145"/>
      <c r="T519" s="145"/>
      <c r="U519" s="145"/>
      <c r="V519" s="145"/>
      <c r="W519" s="145"/>
      <c r="X519" s="145"/>
      <c r="Y519" s="145"/>
      <c r="Z519" s="145"/>
    </row>
    <row r="520" spans="1:26" ht="15.75" x14ac:dyDescent="0.25">
      <c r="A520" s="145"/>
      <c r="B520" s="145"/>
      <c r="C520" s="145"/>
      <c r="D520" s="145"/>
      <c r="E520" s="145"/>
      <c r="F520" s="145"/>
      <c r="G520" s="145"/>
      <c r="H520" s="145"/>
      <c r="I520" s="145"/>
      <c r="J520" s="145"/>
      <c r="K520" s="145"/>
      <c r="L520" s="145"/>
      <c r="M520" s="145"/>
      <c r="N520" s="145"/>
      <c r="O520" s="145"/>
      <c r="P520" s="145"/>
      <c r="Q520" s="145"/>
      <c r="R520" s="145"/>
      <c r="S520" s="145"/>
      <c r="T520" s="145"/>
      <c r="U520" s="145"/>
      <c r="V520" s="145"/>
      <c r="W520" s="145"/>
      <c r="X520" s="145"/>
      <c r="Y520" s="145"/>
      <c r="Z520" s="145"/>
    </row>
    <row r="521" spans="1:26" ht="15.75" x14ac:dyDescent="0.25">
      <c r="A521" s="145"/>
      <c r="B521" s="145"/>
      <c r="C521" s="145"/>
      <c r="D521" s="145"/>
      <c r="E521" s="145"/>
      <c r="F521" s="145"/>
      <c r="G521" s="145"/>
      <c r="H521" s="145"/>
      <c r="I521" s="145"/>
      <c r="J521" s="145"/>
      <c r="K521" s="145"/>
      <c r="L521" s="145"/>
      <c r="M521" s="145"/>
      <c r="N521" s="145"/>
      <c r="O521" s="145"/>
      <c r="P521" s="145"/>
      <c r="Q521" s="145"/>
      <c r="R521" s="145"/>
      <c r="S521" s="145"/>
      <c r="T521" s="145"/>
      <c r="U521" s="145"/>
      <c r="V521" s="145"/>
      <c r="W521" s="145"/>
      <c r="X521" s="145"/>
      <c r="Y521" s="145"/>
      <c r="Z521" s="145"/>
    </row>
    <row r="522" spans="1:26" ht="15.75" x14ac:dyDescent="0.25">
      <c r="A522" s="145"/>
      <c r="B522" s="145"/>
      <c r="C522" s="145"/>
      <c r="D522" s="145"/>
      <c r="E522" s="145"/>
      <c r="F522" s="145"/>
      <c r="G522" s="145"/>
      <c r="H522" s="145"/>
      <c r="I522" s="145"/>
      <c r="J522" s="145"/>
      <c r="K522" s="145"/>
      <c r="L522" s="145"/>
      <c r="M522" s="145"/>
      <c r="N522" s="145"/>
      <c r="O522" s="145"/>
      <c r="P522" s="145"/>
      <c r="Q522" s="145"/>
      <c r="R522" s="145"/>
      <c r="S522" s="145"/>
      <c r="T522" s="145"/>
      <c r="U522" s="145"/>
      <c r="V522" s="145"/>
      <c r="W522" s="145"/>
      <c r="X522" s="145"/>
      <c r="Y522" s="145"/>
      <c r="Z522" s="145"/>
    </row>
    <row r="523" spans="1:26" ht="15.75" x14ac:dyDescent="0.25">
      <c r="A523" s="145"/>
      <c r="B523" s="145"/>
      <c r="C523" s="145"/>
      <c r="D523" s="145"/>
      <c r="E523" s="145"/>
      <c r="F523" s="145"/>
      <c r="G523" s="145"/>
      <c r="H523" s="145"/>
      <c r="I523" s="145"/>
      <c r="J523" s="145"/>
      <c r="K523" s="145"/>
      <c r="L523" s="145"/>
      <c r="M523" s="145"/>
      <c r="N523" s="145"/>
      <c r="O523" s="145"/>
      <c r="P523" s="145"/>
      <c r="Q523" s="145"/>
      <c r="R523" s="145"/>
      <c r="S523" s="145"/>
      <c r="T523" s="145"/>
      <c r="U523" s="145"/>
      <c r="V523" s="145"/>
      <c r="W523" s="145"/>
      <c r="X523" s="145"/>
      <c r="Y523" s="145"/>
      <c r="Z523" s="145"/>
    </row>
    <row r="524" spans="1:26" ht="15.75" x14ac:dyDescent="0.25">
      <c r="A524" s="145"/>
      <c r="B524" s="145"/>
      <c r="C524" s="145"/>
      <c r="D524" s="145"/>
      <c r="E524" s="145"/>
      <c r="F524" s="145"/>
      <c r="G524" s="145"/>
      <c r="H524" s="145"/>
      <c r="I524" s="145"/>
      <c r="J524" s="145"/>
      <c r="K524" s="145"/>
      <c r="L524" s="145"/>
      <c r="M524" s="145"/>
      <c r="N524" s="145"/>
      <c r="O524" s="145"/>
      <c r="P524" s="145"/>
      <c r="Q524" s="145"/>
      <c r="R524" s="145"/>
      <c r="S524" s="145"/>
      <c r="T524" s="145"/>
      <c r="U524" s="145"/>
      <c r="V524" s="145"/>
      <c r="W524" s="145"/>
      <c r="X524" s="145"/>
      <c r="Y524" s="145"/>
      <c r="Z524" s="145"/>
    </row>
    <row r="525" spans="1:26" ht="15.75" x14ac:dyDescent="0.25">
      <c r="A525" s="145"/>
      <c r="B525" s="145"/>
      <c r="C525" s="145"/>
      <c r="D525" s="145"/>
      <c r="E525" s="145"/>
      <c r="F525" s="145"/>
      <c r="G525" s="145"/>
      <c r="H525" s="145"/>
      <c r="I525" s="145"/>
      <c r="J525" s="145"/>
      <c r="K525" s="145"/>
      <c r="L525" s="145"/>
      <c r="M525" s="145"/>
      <c r="N525" s="145"/>
      <c r="O525" s="145"/>
      <c r="P525" s="145"/>
      <c r="Q525" s="145"/>
      <c r="R525" s="145"/>
      <c r="S525" s="145"/>
      <c r="T525" s="145"/>
      <c r="U525" s="145"/>
      <c r="V525" s="145"/>
      <c r="W525" s="145"/>
      <c r="X525" s="145"/>
      <c r="Y525" s="145"/>
      <c r="Z525" s="145"/>
    </row>
    <row r="526" spans="1:26" ht="15.75" x14ac:dyDescent="0.25">
      <c r="A526" s="145"/>
      <c r="B526" s="145"/>
      <c r="C526" s="145"/>
      <c r="D526" s="145"/>
      <c r="E526" s="145"/>
      <c r="F526" s="145"/>
      <c r="G526" s="145"/>
      <c r="H526" s="145"/>
      <c r="I526" s="145"/>
      <c r="J526" s="145"/>
      <c r="K526" s="145"/>
      <c r="L526" s="145"/>
      <c r="M526" s="145"/>
      <c r="N526" s="145"/>
      <c r="O526" s="145"/>
      <c r="P526" s="145"/>
      <c r="Q526" s="145"/>
      <c r="R526" s="145"/>
      <c r="S526" s="145"/>
      <c r="T526" s="145"/>
      <c r="U526" s="145"/>
      <c r="V526" s="145"/>
      <c r="W526" s="145"/>
      <c r="X526" s="145"/>
      <c r="Y526" s="145"/>
      <c r="Z526" s="145"/>
    </row>
    <row r="527" spans="1:26" ht="15.75" x14ac:dyDescent="0.25">
      <c r="A527" s="145"/>
      <c r="B527" s="145"/>
      <c r="C527" s="145"/>
      <c r="D527" s="145"/>
      <c r="E527" s="145"/>
      <c r="F527" s="145"/>
      <c r="G527" s="145"/>
      <c r="H527" s="145"/>
      <c r="I527" s="145"/>
      <c r="J527" s="145"/>
      <c r="K527" s="145"/>
      <c r="L527" s="145"/>
      <c r="M527" s="145"/>
      <c r="N527" s="145"/>
      <c r="O527" s="145"/>
      <c r="P527" s="145"/>
      <c r="Q527" s="145"/>
      <c r="R527" s="145"/>
      <c r="S527" s="145"/>
      <c r="T527" s="145"/>
      <c r="U527" s="145"/>
      <c r="V527" s="145"/>
      <c r="W527" s="145"/>
      <c r="X527" s="145"/>
      <c r="Y527" s="145"/>
      <c r="Z527" s="145"/>
    </row>
    <row r="528" spans="1:26" ht="15.75" x14ac:dyDescent="0.25">
      <c r="A528" s="145"/>
      <c r="B528" s="145"/>
      <c r="C528" s="145"/>
      <c r="D528" s="145"/>
      <c r="E528" s="145"/>
      <c r="F528" s="145"/>
      <c r="G528" s="145"/>
      <c r="H528" s="145"/>
      <c r="I528" s="145"/>
      <c r="J528" s="145"/>
      <c r="K528" s="145"/>
      <c r="L528" s="145"/>
      <c r="M528" s="145"/>
      <c r="N528" s="145"/>
      <c r="O528" s="145"/>
      <c r="P528" s="145"/>
      <c r="Q528" s="145"/>
      <c r="R528" s="145"/>
      <c r="S528" s="145"/>
      <c r="T528" s="145"/>
      <c r="U528" s="145"/>
      <c r="V528" s="145"/>
      <c r="W528" s="145"/>
      <c r="X528" s="145"/>
      <c r="Y528" s="145"/>
      <c r="Z528" s="145"/>
    </row>
    <row r="529" spans="1:26" ht="15.75" x14ac:dyDescent="0.25">
      <c r="A529" s="145"/>
      <c r="B529" s="145"/>
      <c r="C529" s="145"/>
      <c r="D529" s="145"/>
      <c r="E529" s="145"/>
      <c r="F529" s="145"/>
      <c r="G529" s="145"/>
      <c r="H529" s="145"/>
      <c r="I529" s="145"/>
      <c r="J529" s="145"/>
      <c r="K529" s="145"/>
      <c r="L529" s="145"/>
      <c r="M529" s="145"/>
      <c r="N529" s="145"/>
      <c r="O529" s="145"/>
      <c r="P529" s="145"/>
      <c r="Q529" s="145"/>
      <c r="R529" s="145"/>
      <c r="S529" s="145"/>
      <c r="T529" s="145"/>
      <c r="U529" s="145"/>
      <c r="V529" s="145"/>
      <c r="W529" s="145"/>
      <c r="X529" s="145"/>
      <c r="Y529" s="145"/>
      <c r="Z529" s="145"/>
    </row>
    <row r="530" spans="1:26" ht="15.75" x14ac:dyDescent="0.25">
      <c r="A530" s="145"/>
      <c r="B530" s="145"/>
      <c r="C530" s="145"/>
      <c r="D530" s="145"/>
      <c r="E530" s="145"/>
      <c r="F530" s="145"/>
      <c r="G530" s="145"/>
      <c r="H530" s="145"/>
      <c r="I530" s="145"/>
      <c r="J530" s="145"/>
      <c r="K530" s="145"/>
      <c r="L530" s="145"/>
      <c r="M530" s="145"/>
      <c r="N530" s="145"/>
      <c r="O530" s="145"/>
      <c r="P530" s="145"/>
      <c r="Q530" s="145"/>
      <c r="R530" s="145"/>
      <c r="S530" s="145"/>
      <c r="T530" s="145"/>
      <c r="U530" s="145"/>
      <c r="V530" s="145"/>
      <c r="W530" s="145"/>
      <c r="X530" s="145"/>
      <c r="Y530" s="145"/>
      <c r="Z530" s="145"/>
    </row>
    <row r="531" spans="1:26" ht="15.75" x14ac:dyDescent="0.25">
      <c r="A531" s="145"/>
      <c r="B531" s="145"/>
      <c r="C531" s="145"/>
      <c r="D531" s="145"/>
      <c r="E531" s="145"/>
      <c r="F531" s="145"/>
      <c r="G531" s="145"/>
      <c r="H531" s="145"/>
      <c r="I531" s="145"/>
      <c r="J531" s="145"/>
      <c r="K531" s="145"/>
      <c r="L531" s="145"/>
      <c r="M531" s="145"/>
      <c r="N531" s="145"/>
      <c r="O531" s="145"/>
      <c r="P531" s="145"/>
      <c r="Q531" s="145"/>
      <c r="R531" s="145"/>
      <c r="S531" s="145"/>
      <c r="T531" s="145"/>
      <c r="U531" s="145"/>
      <c r="V531" s="145"/>
      <c r="W531" s="145"/>
      <c r="X531" s="145"/>
      <c r="Y531" s="145"/>
      <c r="Z531" s="145"/>
    </row>
    <row r="532" spans="1:26" ht="15.75" x14ac:dyDescent="0.25">
      <c r="A532" s="145"/>
      <c r="B532" s="145"/>
      <c r="C532" s="145"/>
      <c r="D532" s="145"/>
      <c r="E532" s="145"/>
      <c r="F532" s="145"/>
      <c r="G532" s="145"/>
      <c r="H532" s="145"/>
      <c r="I532" s="145"/>
      <c r="J532" s="145"/>
      <c r="K532" s="145"/>
      <c r="L532" s="145"/>
      <c r="M532" s="145"/>
      <c r="N532" s="145"/>
      <c r="O532" s="145"/>
      <c r="P532" s="145"/>
      <c r="Q532" s="145"/>
      <c r="R532" s="145"/>
      <c r="S532" s="145"/>
      <c r="T532" s="145"/>
      <c r="U532" s="145"/>
      <c r="V532" s="145"/>
      <c r="W532" s="145"/>
      <c r="X532" s="145"/>
      <c r="Y532" s="145"/>
      <c r="Z532" s="145"/>
    </row>
    <row r="533" spans="1:26" ht="15.75" x14ac:dyDescent="0.25">
      <c r="A533" s="145"/>
      <c r="B533" s="145"/>
      <c r="C533" s="145"/>
      <c r="D533" s="145"/>
      <c r="E533" s="145"/>
      <c r="F533" s="145"/>
      <c r="G533" s="145"/>
      <c r="H533" s="145"/>
      <c r="I533" s="145"/>
      <c r="J533" s="145"/>
      <c r="K533" s="145"/>
      <c r="L533" s="145"/>
      <c r="M533" s="145"/>
      <c r="N533" s="145"/>
      <c r="O533" s="145"/>
      <c r="P533" s="145"/>
      <c r="Q533" s="145"/>
      <c r="R533" s="145"/>
      <c r="S533" s="145"/>
      <c r="T533" s="145"/>
      <c r="U533" s="145"/>
      <c r="V533" s="145"/>
      <c r="W533" s="145"/>
      <c r="X533" s="145"/>
      <c r="Y533" s="145"/>
      <c r="Z533" s="145"/>
    </row>
    <row r="534" spans="1:26" ht="15.75" x14ac:dyDescent="0.25">
      <c r="A534" s="145"/>
      <c r="B534" s="145"/>
      <c r="C534" s="145"/>
      <c r="D534" s="145"/>
      <c r="E534" s="145"/>
      <c r="F534" s="145"/>
      <c r="G534" s="145"/>
      <c r="H534" s="145"/>
      <c r="I534" s="145"/>
      <c r="J534" s="145"/>
      <c r="K534" s="145"/>
      <c r="L534" s="145"/>
      <c r="M534" s="145"/>
      <c r="N534" s="145"/>
      <c r="O534" s="145"/>
      <c r="P534" s="145"/>
      <c r="Q534" s="145"/>
      <c r="R534" s="145"/>
      <c r="S534" s="145"/>
      <c r="T534" s="145"/>
      <c r="U534" s="145"/>
      <c r="V534" s="145"/>
      <c r="W534" s="145"/>
      <c r="X534" s="145"/>
      <c r="Y534" s="145"/>
      <c r="Z534" s="145"/>
    </row>
    <row r="535" spans="1:26" ht="15.75" x14ac:dyDescent="0.25">
      <c r="A535" s="145"/>
      <c r="B535" s="145"/>
      <c r="C535" s="145"/>
      <c r="D535" s="145"/>
      <c r="E535" s="145"/>
      <c r="F535" s="145"/>
      <c r="G535" s="145"/>
      <c r="H535" s="145"/>
      <c r="I535" s="145"/>
      <c r="J535" s="145"/>
      <c r="K535" s="145"/>
      <c r="L535" s="145"/>
      <c r="M535" s="145"/>
      <c r="N535" s="145"/>
      <c r="O535" s="145"/>
      <c r="P535" s="145"/>
      <c r="Q535" s="145"/>
      <c r="R535" s="145"/>
      <c r="S535" s="145"/>
      <c r="T535" s="145"/>
      <c r="U535" s="145"/>
      <c r="V535" s="145"/>
      <c r="W535" s="145"/>
      <c r="X535" s="145"/>
      <c r="Y535" s="145"/>
      <c r="Z535" s="145"/>
    </row>
    <row r="536" spans="1:26" ht="15.75" x14ac:dyDescent="0.25">
      <c r="A536" s="145"/>
      <c r="B536" s="145"/>
      <c r="C536" s="145"/>
      <c r="D536" s="145"/>
      <c r="E536" s="145"/>
      <c r="F536" s="145"/>
      <c r="G536" s="145"/>
      <c r="H536" s="145"/>
      <c r="I536" s="145"/>
      <c r="J536" s="145"/>
      <c r="K536" s="145"/>
      <c r="L536" s="145"/>
      <c r="M536" s="145"/>
      <c r="N536" s="145"/>
      <c r="O536" s="145"/>
      <c r="P536" s="145"/>
      <c r="Q536" s="145"/>
      <c r="R536" s="145"/>
      <c r="S536" s="145"/>
      <c r="T536" s="145"/>
      <c r="U536" s="145"/>
      <c r="V536" s="145"/>
      <c r="W536" s="145"/>
      <c r="X536" s="145"/>
      <c r="Y536" s="145"/>
      <c r="Z536" s="145"/>
    </row>
    <row r="537" spans="1:26" ht="15.75" x14ac:dyDescent="0.25">
      <c r="A537" s="145"/>
      <c r="B537" s="145"/>
      <c r="C537" s="145"/>
      <c r="D537" s="145"/>
      <c r="E537" s="145"/>
      <c r="F537" s="145"/>
      <c r="G537" s="145"/>
      <c r="H537" s="145"/>
      <c r="I537" s="145"/>
      <c r="J537" s="145"/>
      <c r="K537" s="145"/>
      <c r="L537" s="145"/>
      <c r="M537" s="145"/>
      <c r="N537" s="145"/>
      <c r="O537" s="145"/>
      <c r="P537" s="145"/>
      <c r="Q537" s="145"/>
      <c r="R537" s="145"/>
      <c r="S537" s="145"/>
      <c r="T537" s="145"/>
      <c r="U537" s="145"/>
      <c r="V537" s="145"/>
      <c r="W537" s="145"/>
      <c r="X537" s="145"/>
      <c r="Y537" s="145"/>
      <c r="Z537" s="145"/>
    </row>
    <row r="538" spans="1:26" ht="15.75" x14ac:dyDescent="0.25">
      <c r="A538" s="145"/>
      <c r="B538" s="145"/>
      <c r="C538" s="145"/>
      <c r="D538" s="145"/>
      <c r="E538" s="145"/>
      <c r="F538" s="145"/>
      <c r="G538" s="145"/>
      <c r="H538" s="145"/>
      <c r="I538" s="145"/>
      <c r="J538" s="145"/>
      <c r="K538" s="145"/>
      <c r="L538" s="145"/>
      <c r="M538" s="145"/>
      <c r="N538" s="145"/>
      <c r="O538" s="145"/>
      <c r="P538" s="145"/>
      <c r="Q538" s="145"/>
      <c r="R538" s="145"/>
      <c r="S538" s="145"/>
      <c r="T538" s="145"/>
      <c r="U538" s="145"/>
      <c r="V538" s="145"/>
      <c r="W538" s="145"/>
      <c r="X538" s="145"/>
      <c r="Y538" s="145"/>
      <c r="Z538" s="145"/>
    </row>
    <row r="539" spans="1:26" ht="15.75" x14ac:dyDescent="0.25">
      <c r="A539" s="145"/>
      <c r="B539" s="145"/>
      <c r="C539" s="145"/>
      <c r="D539" s="145"/>
      <c r="E539" s="145"/>
      <c r="F539" s="145"/>
      <c r="G539" s="145"/>
      <c r="H539" s="145"/>
      <c r="I539" s="145"/>
      <c r="J539" s="145"/>
      <c r="K539" s="145"/>
      <c r="L539" s="145"/>
      <c r="M539" s="145"/>
      <c r="N539" s="145"/>
      <c r="O539" s="145"/>
      <c r="P539" s="145"/>
      <c r="Q539" s="145"/>
      <c r="R539" s="145"/>
      <c r="S539" s="145"/>
      <c r="T539" s="145"/>
      <c r="U539" s="145"/>
      <c r="V539" s="145"/>
      <c r="W539" s="145"/>
      <c r="X539" s="145"/>
      <c r="Y539" s="145"/>
      <c r="Z539" s="145"/>
    </row>
    <row r="540" spans="1:26" ht="15.75" x14ac:dyDescent="0.25">
      <c r="A540" s="145"/>
      <c r="B540" s="145"/>
      <c r="C540" s="145"/>
      <c r="D540" s="145"/>
      <c r="E540" s="145"/>
      <c r="F540" s="145"/>
      <c r="G540" s="145"/>
      <c r="H540" s="145"/>
      <c r="I540" s="145"/>
      <c r="J540" s="145"/>
      <c r="K540" s="145"/>
      <c r="L540" s="145"/>
      <c r="M540" s="145"/>
      <c r="N540" s="145"/>
      <c r="O540" s="145"/>
      <c r="P540" s="145"/>
      <c r="Q540" s="145"/>
      <c r="R540" s="145"/>
      <c r="S540" s="145"/>
      <c r="T540" s="145"/>
      <c r="U540" s="145"/>
      <c r="V540" s="145"/>
      <c r="W540" s="145"/>
      <c r="X540" s="145"/>
      <c r="Y540" s="145"/>
      <c r="Z540" s="145"/>
    </row>
    <row r="541" spans="1:26" ht="15.75" x14ac:dyDescent="0.25">
      <c r="A541" s="145"/>
      <c r="B541" s="145"/>
      <c r="C541" s="145"/>
      <c r="D541" s="145"/>
      <c r="E541" s="145"/>
      <c r="F541" s="145"/>
      <c r="G541" s="145"/>
      <c r="H541" s="145"/>
      <c r="I541" s="145"/>
      <c r="J541" s="145"/>
      <c r="K541" s="145"/>
      <c r="L541" s="145"/>
      <c r="M541" s="145"/>
      <c r="N541" s="145"/>
      <c r="O541" s="145"/>
      <c r="P541" s="145"/>
      <c r="Q541" s="145"/>
      <c r="R541" s="145"/>
      <c r="S541" s="145"/>
      <c r="T541" s="145"/>
      <c r="U541" s="145"/>
      <c r="V541" s="145"/>
      <c r="W541" s="145"/>
      <c r="X541" s="145"/>
      <c r="Y541" s="145"/>
      <c r="Z541" s="145"/>
    </row>
    <row r="542" spans="1:26" ht="15.75" x14ac:dyDescent="0.25">
      <c r="A542" s="145"/>
      <c r="B542" s="145"/>
      <c r="C542" s="145"/>
      <c r="D542" s="145"/>
      <c r="E542" s="145"/>
      <c r="F542" s="145"/>
      <c r="G542" s="145"/>
      <c r="H542" s="145"/>
      <c r="I542" s="145"/>
      <c r="J542" s="145"/>
      <c r="K542" s="145"/>
      <c r="L542" s="145"/>
      <c r="M542" s="145"/>
      <c r="N542" s="145"/>
      <c r="O542" s="145"/>
      <c r="P542" s="145"/>
      <c r="Q542" s="145"/>
      <c r="R542" s="145"/>
      <c r="S542" s="145"/>
      <c r="T542" s="145"/>
      <c r="U542" s="145"/>
      <c r="V542" s="145"/>
      <c r="W542" s="145"/>
      <c r="X542" s="145"/>
      <c r="Y542" s="145"/>
      <c r="Z542" s="145"/>
    </row>
    <row r="543" spans="1:26" ht="15.75" x14ac:dyDescent="0.25">
      <c r="A543" s="145"/>
      <c r="B543" s="145"/>
      <c r="C543" s="145"/>
      <c r="D543" s="145"/>
      <c r="E543" s="145"/>
      <c r="F543" s="145"/>
      <c r="G543" s="145"/>
      <c r="H543" s="145"/>
      <c r="I543" s="145"/>
      <c r="J543" s="145"/>
      <c r="K543" s="145"/>
      <c r="L543" s="145"/>
      <c r="M543" s="145"/>
      <c r="N543" s="145"/>
      <c r="O543" s="145"/>
      <c r="P543" s="145"/>
      <c r="Q543" s="145"/>
      <c r="R543" s="145"/>
      <c r="S543" s="145"/>
      <c r="T543" s="145"/>
      <c r="U543" s="145"/>
      <c r="V543" s="145"/>
      <c r="W543" s="145"/>
      <c r="X543" s="145"/>
      <c r="Y543" s="145"/>
      <c r="Z543" s="145"/>
    </row>
    <row r="544" spans="1:26" ht="15.75" x14ac:dyDescent="0.25">
      <c r="A544" s="145"/>
      <c r="B544" s="145"/>
      <c r="C544" s="145"/>
      <c r="D544" s="145"/>
      <c r="E544" s="145"/>
      <c r="F544" s="145"/>
      <c r="G544" s="145"/>
      <c r="H544" s="145"/>
      <c r="I544" s="145"/>
      <c r="J544" s="145"/>
      <c r="K544" s="145"/>
      <c r="L544" s="145"/>
      <c r="M544" s="145"/>
      <c r="N544" s="145"/>
      <c r="O544" s="145"/>
      <c r="P544" s="145"/>
      <c r="Q544" s="145"/>
      <c r="R544" s="145"/>
      <c r="S544" s="145"/>
      <c r="T544" s="145"/>
      <c r="U544" s="145"/>
      <c r="V544" s="145"/>
      <c r="W544" s="145"/>
      <c r="X544" s="145"/>
      <c r="Y544" s="145"/>
      <c r="Z544" s="145"/>
    </row>
    <row r="545" spans="1:26" ht="15.75" x14ac:dyDescent="0.25">
      <c r="A545" s="145"/>
      <c r="B545" s="145"/>
      <c r="C545" s="145"/>
      <c r="D545" s="145"/>
      <c r="E545" s="145"/>
      <c r="F545" s="145"/>
      <c r="G545" s="145"/>
      <c r="H545" s="145"/>
      <c r="I545" s="145"/>
      <c r="J545" s="145"/>
      <c r="K545" s="145"/>
      <c r="L545" s="145"/>
      <c r="M545" s="145"/>
      <c r="N545" s="145"/>
      <c r="O545" s="145"/>
      <c r="P545" s="145"/>
      <c r="Q545" s="145"/>
      <c r="R545" s="145"/>
      <c r="S545" s="145"/>
      <c r="T545" s="145"/>
      <c r="U545" s="145"/>
      <c r="V545" s="145"/>
      <c r="W545" s="145"/>
      <c r="X545" s="145"/>
      <c r="Y545" s="145"/>
      <c r="Z545" s="145"/>
    </row>
    <row r="546" spans="1:26" ht="15.75" x14ac:dyDescent="0.25">
      <c r="A546" s="145"/>
      <c r="B546" s="145"/>
      <c r="C546" s="145"/>
      <c r="D546" s="145"/>
      <c r="E546" s="145"/>
      <c r="F546" s="145"/>
      <c r="G546" s="145"/>
      <c r="H546" s="145"/>
      <c r="I546" s="145"/>
      <c r="J546" s="145"/>
      <c r="K546" s="145"/>
      <c r="L546" s="145"/>
      <c r="M546" s="145"/>
      <c r="N546" s="145"/>
      <c r="O546" s="145"/>
      <c r="P546" s="145"/>
      <c r="Q546" s="145"/>
      <c r="R546" s="145"/>
      <c r="S546" s="145"/>
      <c r="T546" s="145"/>
      <c r="U546" s="145"/>
      <c r="V546" s="145"/>
      <c r="W546" s="145"/>
      <c r="X546" s="145"/>
      <c r="Y546" s="145"/>
      <c r="Z546" s="145"/>
    </row>
    <row r="547" spans="1:26" ht="15.75" x14ac:dyDescent="0.25">
      <c r="A547" s="145"/>
      <c r="B547" s="145"/>
      <c r="C547" s="145"/>
      <c r="D547" s="145"/>
      <c r="E547" s="145"/>
      <c r="F547" s="145"/>
      <c r="G547" s="145"/>
      <c r="H547" s="145"/>
      <c r="I547" s="145"/>
      <c r="J547" s="145"/>
      <c r="K547" s="145"/>
      <c r="L547" s="145"/>
      <c r="M547" s="145"/>
      <c r="N547" s="145"/>
      <c r="O547" s="145"/>
      <c r="P547" s="145"/>
      <c r="Q547" s="145"/>
      <c r="R547" s="145"/>
      <c r="S547" s="145"/>
      <c r="T547" s="145"/>
      <c r="U547" s="145"/>
      <c r="V547" s="145"/>
      <c r="W547" s="145"/>
      <c r="X547" s="145"/>
      <c r="Y547" s="145"/>
      <c r="Z547" s="145"/>
    </row>
    <row r="548" spans="1:26" ht="15.75" x14ac:dyDescent="0.25">
      <c r="A548" s="145"/>
      <c r="B548" s="145"/>
      <c r="C548" s="145"/>
      <c r="D548" s="145"/>
      <c r="E548" s="145"/>
      <c r="F548" s="145"/>
      <c r="G548" s="145"/>
      <c r="H548" s="145"/>
      <c r="I548" s="145"/>
      <c r="J548" s="145"/>
      <c r="K548" s="145"/>
      <c r="L548" s="145"/>
      <c r="M548" s="145"/>
      <c r="N548" s="145"/>
      <c r="O548" s="145"/>
      <c r="P548" s="145"/>
      <c r="Q548" s="145"/>
      <c r="R548" s="145"/>
      <c r="S548" s="145"/>
      <c r="T548" s="145"/>
      <c r="U548" s="145"/>
      <c r="V548" s="145"/>
      <c r="W548" s="145"/>
      <c r="X548" s="145"/>
      <c r="Y548" s="145"/>
      <c r="Z548" s="145"/>
    </row>
    <row r="549" spans="1:26" ht="15.75" x14ac:dyDescent="0.25">
      <c r="A549" s="145"/>
      <c r="B549" s="145"/>
      <c r="C549" s="145"/>
      <c r="D549" s="145"/>
      <c r="E549" s="145"/>
      <c r="F549" s="145"/>
      <c r="G549" s="145"/>
      <c r="H549" s="145"/>
      <c r="I549" s="145"/>
      <c r="J549" s="145"/>
      <c r="K549" s="145"/>
      <c r="L549" s="145"/>
      <c r="M549" s="145"/>
      <c r="N549" s="145"/>
      <c r="O549" s="145"/>
      <c r="P549" s="145"/>
      <c r="Q549" s="145"/>
      <c r="R549" s="145"/>
      <c r="S549" s="145"/>
      <c r="T549" s="145"/>
      <c r="U549" s="145"/>
      <c r="V549" s="145"/>
      <c r="W549" s="145"/>
      <c r="X549" s="145"/>
      <c r="Y549" s="145"/>
      <c r="Z549" s="145"/>
    </row>
    <row r="550" spans="1:26" ht="15.75" x14ac:dyDescent="0.25">
      <c r="A550" s="145"/>
      <c r="B550" s="145"/>
      <c r="C550" s="145"/>
      <c r="D550" s="145"/>
      <c r="E550" s="145"/>
      <c r="F550" s="145"/>
      <c r="G550" s="145"/>
      <c r="H550" s="145"/>
      <c r="I550" s="145"/>
      <c r="J550" s="145"/>
      <c r="K550" s="145"/>
      <c r="L550" s="145"/>
      <c r="M550" s="145"/>
      <c r="N550" s="145"/>
      <c r="O550" s="145"/>
      <c r="P550" s="145"/>
      <c r="Q550" s="145"/>
      <c r="R550" s="145"/>
      <c r="S550" s="145"/>
      <c r="T550" s="145"/>
      <c r="U550" s="145"/>
      <c r="V550" s="145"/>
      <c r="W550" s="145"/>
      <c r="X550" s="145"/>
      <c r="Y550" s="145"/>
      <c r="Z550" s="145"/>
    </row>
    <row r="551" spans="1:26" ht="15.75" x14ac:dyDescent="0.25">
      <c r="A551" s="145"/>
      <c r="B551" s="145"/>
      <c r="C551" s="145"/>
      <c r="D551" s="145"/>
      <c r="E551" s="145"/>
      <c r="F551" s="145"/>
      <c r="G551" s="145"/>
      <c r="H551" s="145"/>
      <c r="I551" s="145"/>
      <c r="J551" s="145"/>
      <c r="K551" s="145"/>
      <c r="L551" s="145"/>
      <c r="M551" s="145"/>
      <c r="N551" s="145"/>
      <c r="O551" s="145"/>
      <c r="P551" s="145"/>
      <c r="Q551" s="145"/>
      <c r="R551" s="145"/>
      <c r="S551" s="145"/>
      <c r="T551" s="145"/>
      <c r="U551" s="145"/>
      <c r="V551" s="145"/>
      <c r="W551" s="145"/>
      <c r="X551" s="145"/>
      <c r="Y551" s="145"/>
      <c r="Z551" s="145"/>
    </row>
    <row r="552" spans="1:26" ht="15.75" x14ac:dyDescent="0.25">
      <c r="A552" s="145"/>
      <c r="B552" s="145"/>
      <c r="C552" s="145"/>
      <c r="D552" s="145"/>
      <c r="E552" s="145"/>
      <c r="F552" s="145"/>
      <c r="G552" s="145"/>
      <c r="H552" s="145"/>
      <c r="I552" s="145"/>
      <c r="J552" s="145"/>
      <c r="K552" s="145"/>
      <c r="L552" s="145"/>
      <c r="M552" s="145"/>
      <c r="N552" s="145"/>
      <c r="O552" s="145"/>
      <c r="P552" s="145"/>
      <c r="Q552" s="145"/>
      <c r="R552" s="145"/>
      <c r="S552" s="145"/>
      <c r="T552" s="145"/>
      <c r="U552" s="145"/>
      <c r="V552" s="145"/>
      <c r="W552" s="145"/>
      <c r="X552" s="145"/>
      <c r="Y552" s="145"/>
      <c r="Z552" s="145"/>
    </row>
    <row r="553" spans="1:26" ht="15.75" x14ac:dyDescent="0.25">
      <c r="A553" s="145"/>
      <c r="B553" s="145"/>
      <c r="C553" s="145"/>
      <c r="D553" s="145"/>
      <c r="E553" s="145"/>
      <c r="F553" s="145"/>
      <c r="G553" s="145"/>
      <c r="H553" s="145"/>
      <c r="I553" s="145"/>
      <c r="J553" s="145"/>
      <c r="K553" s="145"/>
      <c r="L553" s="145"/>
      <c r="M553" s="145"/>
      <c r="N553" s="145"/>
      <c r="O553" s="145"/>
      <c r="P553" s="145"/>
      <c r="Q553" s="145"/>
      <c r="R553" s="145"/>
      <c r="S553" s="145"/>
      <c r="T553" s="145"/>
      <c r="U553" s="145"/>
      <c r="V553" s="145"/>
      <c r="W553" s="145"/>
      <c r="X553" s="145"/>
      <c r="Y553" s="145"/>
      <c r="Z553" s="145"/>
    </row>
    <row r="554" spans="1:26" ht="15.75" x14ac:dyDescent="0.25">
      <c r="A554" s="145"/>
      <c r="B554" s="145"/>
      <c r="C554" s="145"/>
      <c r="D554" s="145"/>
      <c r="E554" s="145"/>
      <c r="F554" s="145"/>
      <c r="G554" s="145"/>
      <c r="H554" s="145"/>
      <c r="I554" s="145"/>
      <c r="J554" s="145"/>
      <c r="K554" s="145"/>
      <c r="L554" s="145"/>
      <c r="M554" s="145"/>
      <c r="N554" s="145"/>
      <c r="O554" s="145"/>
      <c r="P554" s="145"/>
      <c r="Q554" s="145"/>
      <c r="R554" s="145"/>
      <c r="S554" s="145"/>
      <c r="T554" s="145"/>
      <c r="U554" s="145"/>
      <c r="V554" s="145"/>
      <c r="W554" s="145"/>
      <c r="X554" s="145"/>
      <c r="Y554" s="145"/>
      <c r="Z554" s="145"/>
    </row>
    <row r="555" spans="1:26" ht="15.75" x14ac:dyDescent="0.25">
      <c r="A555" s="145"/>
      <c r="B555" s="145"/>
      <c r="C555" s="145"/>
      <c r="D555" s="145"/>
      <c r="E555" s="145"/>
      <c r="F555" s="145"/>
      <c r="G555" s="145"/>
      <c r="H555" s="145"/>
      <c r="I555" s="145"/>
      <c r="J555" s="145"/>
      <c r="K555" s="145"/>
      <c r="L555" s="145"/>
      <c r="M555" s="145"/>
      <c r="N555" s="145"/>
      <c r="O555" s="145"/>
      <c r="P555" s="145"/>
      <c r="Q555" s="145"/>
      <c r="R555" s="145"/>
      <c r="S555" s="145"/>
      <c r="T555" s="145"/>
      <c r="U555" s="145"/>
      <c r="V555" s="145"/>
      <c r="W555" s="145"/>
      <c r="X555" s="145"/>
      <c r="Y555" s="145"/>
      <c r="Z555" s="145"/>
    </row>
    <row r="556" spans="1:26" ht="15.75" x14ac:dyDescent="0.25">
      <c r="A556" s="145"/>
      <c r="B556" s="145"/>
      <c r="C556" s="145"/>
      <c r="D556" s="145"/>
      <c r="E556" s="145"/>
      <c r="F556" s="145"/>
      <c r="G556" s="145"/>
      <c r="H556" s="145"/>
      <c r="I556" s="145"/>
      <c r="J556" s="145"/>
      <c r="K556" s="145"/>
      <c r="L556" s="145"/>
      <c r="M556" s="145"/>
      <c r="N556" s="145"/>
      <c r="O556" s="145"/>
      <c r="P556" s="145"/>
      <c r="Q556" s="145"/>
      <c r="R556" s="145"/>
      <c r="S556" s="145"/>
      <c r="T556" s="145"/>
      <c r="U556" s="145"/>
      <c r="V556" s="145"/>
      <c r="W556" s="145"/>
      <c r="X556" s="145"/>
      <c r="Y556" s="145"/>
      <c r="Z556" s="145"/>
    </row>
    <row r="557" spans="1:26" ht="15.75" x14ac:dyDescent="0.25">
      <c r="A557" s="145"/>
      <c r="B557" s="145"/>
      <c r="C557" s="145"/>
      <c r="D557" s="145"/>
      <c r="E557" s="145"/>
      <c r="F557" s="145"/>
      <c r="G557" s="145"/>
      <c r="H557" s="145"/>
      <c r="I557" s="145"/>
      <c r="J557" s="145"/>
      <c r="K557" s="145"/>
      <c r="L557" s="145"/>
      <c r="M557" s="145"/>
      <c r="N557" s="145"/>
      <c r="O557" s="145"/>
      <c r="P557" s="145"/>
      <c r="Q557" s="145"/>
      <c r="R557" s="145"/>
      <c r="S557" s="145"/>
      <c r="T557" s="145"/>
      <c r="U557" s="145"/>
      <c r="V557" s="145"/>
      <c r="W557" s="145"/>
      <c r="X557" s="145"/>
      <c r="Y557" s="145"/>
      <c r="Z557" s="145"/>
    </row>
    <row r="558" spans="1:26" ht="15.75" x14ac:dyDescent="0.25">
      <c r="A558" s="145"/>
      <c r="B558" s="145"/>
      <c r="C558" s="145"/>
      <c r="D558" s="145"/>
      <c r="E558" s="145"/>
      <c r="F558" s="145"/>
      <c r="G558" s="145"/>
      <c r="H558" s="145"/>
      <c r="I558" s="145"/>
      <c r="J558" s="145"/>
      <c r="K558" s="145"/>
      <c r="L558" s="145"/>
      <c r="M558" s="145"/>
      <c r="N558" s="145"/>
      <c r="O558" s="145"/>
      <c r="P558" s="145"/>
      <c r="Q558" s="145"/>
      <c r="R558" s="145"/>
      <c r="S558" s="145"/>
      <c r="T558" s="145"/>
      <c r="U558" s="145"/>
      <c r="V558" s="145"/>
      <c r="W558" s="145"/>
      <c r="X558" s="145"/>
      <c r="Y558" s="145"/>
      <c r="Z558" s="145"/>
    </row>
    <row r="559" spans="1:26" ht="15.75" x14ac:dyDescent="0.25">
      <c r="A559" s="145"/>
      <c r="B559" s="145"/>
      <c r="C559" s="145"/>
      <c r="D559" s="145"/>
      <c r="E559" s="145"/>
      <c r="F559" s="145"/>
      <c r="G559" s="145"/>
      <c r="H559" s="145"/>
      <c r="I559" s="145"/>
      <c r="J559" s="145"/>
      <c r="K559" s="145"/>
      <c r="L559" s="145"/>
      <c r="M559" s="145"/>
      <c r="N559" s="145"/>
      <c r="O559" s="145"/>
      <c r="P559" s="145"/>
      <c r="Q559" s="145"/>
      <c r="R559" s="145"/>
      <c r="S559" s="145"/>
      <c r="T559" s="145"/>
      <c r="U559" s="145"/>
      <c r="V559" s="145"/>
      <c r="W559" s="145"/>
      <c r="X559" s="145"/>
      <c r="Y559" s="145"/>
      <c r="Z559" s="145"/>
    </row>
    <row r="560" spans="1:26" ht="15.75" x14ac:dyDescent="0.25">
      <c r="A560" s="145"/>
      <c r="B560" s="145"/>
      <c r="C560" s="145"/>
      <c r="D560" s="145"/>
      <c r="E560" s="145"/>
      <c r="F560" s="145"/>
      <c r="G560" s="145"/>
      <c r="H560" s="145"/>
      <c r="I560" s="145"/>
      <c r="J560" s="145"/>
      <c r="K560" s="145"/>
      <c r="L560" s="145"/>
      <c r="M560" s="145"/>
      <c r="N560" s="145"/>
      <c r="O560" s="145"/>
      <c r="P560" s="145"/>
      <c r="Q560" s="145"/>
      <c r="R560" s="145"/>
      <c r="S560" s="145"/>
      <c r="T560" s="145"/>
      <c r="U560" s="145"/>
      <c r="V560" s="145"/>
      <c r="W560" s="145"/>
      <c r="X560" s="145"/>
      <c r="Y560" s="145"/>
      <c r="Z560" s="145"/>
    </row>
    <row r="561" spans="1:26" ht="15.75" x14ac:dyDescent="0.25">
      <c r="A561" s="145"/>
      <c r="B561" s="145"/>
      <c r="C561" s="145"/>
      <c r="D561" s="145"/>
      <c r="E561" s="145"/>
      <c r="F561" s="145"/>
      <c r="G561" s="145"/>
      <c r="H561" s="145"/>
      <c r="I561" s="145"/>
      <c r="J561" s="145"/>
      <c r="K561" s="145"/>
      <c r="L561" s="145"/>
      <c r="M561" s="145"/>
      <c r="N561" s="145"/>
      <c r="O561" s="145"/>
      <c r="P561" s="145"/>
      <c r="Q561" s="145"/>
      <c r="R561" s="145"/>
      <c r="S561" s="145"/>
      <c r="T561" s="145"/>
      <c r="U561" s="145"/>
      <c r="V561" s="145"/>
      <c r="W561" s="145"/>
      <c r="X561" s="145"/>
      <c r="Y561" s="145"/>
      <c r="Z561" s="145"/>
    </row>
    <row r="562" spans="1:26" ht="15.75" x14ac:dyDescent="0.25">
      <c r="A562" s="145"/>
      <c r="B562" s="145"/>
      <c r="C562" s="145"/>
      <c r="D562" s="145"/>
      <c r="E562" s="145"/>
      <c r="F562" s="145"/>
      <c r="G562" s="145"/>
      <c r="H562" s="145"/>
      <c r="I562" s="145"/>
      <c r="J562" s="145"/>
      <c r="K562" s="145"/>
      <c r="L562" s="145"/>
      <c r="M562" s="145"/>
      <c r="N562" s="145"/>
      <c r="O562" s="145"/>
      <c r="P562" s="145"/>
      <c r="Q562" s="145"/>
      <c r="R562" s="145"/>
      <c r="S562" s="145"/>
      <c r="T562" s="145"/>
      <c r="U562" s="145"/>
      <c r="V562" s="145"/>
      <c r="W562" s="145"/>
      <c r="X562" s="145"/>
      <c r="Y562" s="145"/>
      <c r="Z562" s="145"/>
    </row>
    <row r="563" spans="1:26" ht="15.75" x14ac:dyDescent="0.25">
      <c r="A563" s="145"/>
      <c r="B563" s="145"/>
      <c r="C563" s="145"/>
      <c r="D563" s="145"/>
      <c r="E563" s="145"/>
      <c r="F563" s="145"/>
      <c r="G563" s="145"/>
      <c r="H563" s="145"/>
      <c r="I563" s="145"/>
      <c r="J563" s="145"/>
      <c r="K563" s="145"/>
      <c r="L563" s="145"/>
      <c r="M563" s="145"/>
      <c r="N563" s="145"/>
      <c r="O563" s="145"/>
      <c r="P563" s="145"/>
      <c r="Q563" s="145"/>
      <c r="R563" s="145"/>
      <c r="S563" s="145"/>
      <c r="T563" s="145"/>
      <c r="U563" s="145"/>
      <c r="V563" s="145"/>
      <c r="W563" s="145"/>
      <c r="X563" s="145"/>
      <c r="Y563" s="145"/>
      <c r="Z563" s="145"/>
    </row>
    <row r="564" spans="1:26" ht="15.75" x14ac:dyDescent="0.25">
      <c r="A564" s="145"/>
      <c r="B564" s="145"/>
      <c r="C564" s="145"/>
      <c r="D564" s="145"/>
      <c r="E564" s="145"/>
      <c r="F564" s="145"/>
      <c r="G564" s="145"/>
      <c r="H564" s="145"/>
      <c r="I564" s="145"/>
      <c r="J564" s="145"/>
      <c r="K564" s="145"/>
      <c r="L564" s="145"/>
      <c r="M564" s="145"/>
      <c r="N564" s="145"/>
      <c r="O564" s="145"/>
      <c r="P564" s="145"/>
      <c r="Q564" s="145"/>
      <c r="R564" s="145"/>
      <c r="S564" s="145"/>
      <c r="T564" s="145"/>
      <c r="U564" s="145"/>
      <c r="V564" s="145"/>
      <c r="W564" s="145"/>
      <c r="X564" s="145"/>
      <c r="Y564" s="145"/>
      <c r="Z564" s="145"/>
    </row>
    <row r="565" spans="1:26" ht="15.75" x14ac:dyDescent="0.25">
      <c r="A565" s="145"/>
      <c r="B565" s="145"/>
      <c r="C565" s="145"/>
      <c r="D565" s="145"/>
      <c r="E565" s="145"/>
      <c r="F565" s="145"/>
      <c r="G565" s="145"/>
      <c r="H565" s="145"/>
      <c r="I565" s="145"/>
      <c r="J565" s="145"/>
      <c r="K565" s="145"/>
      <c r="L565" s="145"/>
      <c r="M565" s="145"/>
      <c r="N565" s="145"/>
      <c r="O565" s="145"/>
      <c r="P565" s="145"/>
      <c r="Q565" s="145"/>
      <c r="R565" s="145"/>
      <c r="S565" s="145"/>
      <c r="T565" s="145"/>
      <c r="U565" s="145"/>
      <c r="V565" s="145"/>
      <c r="W565" s="145"/>
      <c r="X565" s="145"/>
      <c r="Y565" s="145"/>
      <c r="Z565" s="145"/>
    </row>
    <row r="566" spans="1:26" ht="15.75" x14ac:dyDescent="0.25">
      <c r="A566" s="145"/>
      <c r="B566" s="145"/>
      <c r="C566" s="145"/>
      <c r="D566" s="145"/>
      <c r="E566" s="145"/>
      <c r="F566" s="145"/>
      <c r="G566" s="145"/>
      <c r="H566" s="145"/>
      <c r="I566" s="145"/>
      <c r="J566" s="145"/>
      <c r="K566" s="145"/>
      <c r="L566" s="145"/>
      <c r="M566" s="145"/>
      <c r="N566" s="145"/>
      <c r="O566" s="145"/>
      <c r="P566" s="145"/>
      <c r="Q566" s="145"/>
      <c r="R566" s="145"/>
      <c r="S566" s="145"/>
      <c r="T566" s="145"/>
      <c r="U566" s="145"/>
      <c r="V566" s="145"/>
      <c r="W566" s="145"/>
      <c r="X566" s="145"/>
      <c r="Y566" s="145"/>
      <c r="Z566" s="145"/>
    </row>
    <row r="567" spans="1:26" ht="15.75" x14ac:dyDescent="0.25">
      <c r="A567" s="145"/>
      <c r="B567" s="145"/>
      <c r="C567" s="145"/>
      <c r="D567" s="145"/>
      <c r="E567" s="145"/>
      <c r="F567" s="145"/>
      <c r="G567" s="145"/>
      <c r="H567" s="145"/>
      <c r="I567" s="145"/>
      <c r="J567" s="145"/>
      <c r="K567" s="145"/>
      <c r="L567" s="145"/>
      <c r="M567" s="145"/>
      <c r="N567" s="145"/>
      <c r="O567" s="145"/>
      <c r="P567" s="145"/>
      <c r="Q567" s="145"/>
      <c r="R567" s="145"/>
      <c r="S567" s="145"/>
      <c r="T567" s="145"/>
      <c r="U567" s="145"/>
      <c r="V567" s="145"/>
      <c r="W567" s="145"/>
      <c r="X567" s="145"/>
      <c r="Y567" s="145"/>
      <c r="Z567" s="145"/>
    </row>
    <row r="568" spans="1:26" ht="15.75" x14ac:dyDescent="0.25">
      <c r="A568" s="145"/>
      <c r="B568" s="145"/>
      <c r="C568" s="145"/>
      <c r="D568" s="145"/>
      <c r="E568" s="145"/>
      <c r="F568" s="145"/>
      <c r="G568" s="145"/>
      <c r="H568" s="145"/>
      <c r="I568" s="145"/>
      <c r="J568" s="145"/>
      <c r="K568" s="145"/>
      <c r="L568" s="145"/>
      <c r="M568" s="145"/>
      <c r="N568" s="145"/>
      <c r="O568" s="145"/>
      <c r="P568" s="145"/>
      <c r="Q568" s="145"/>
      <c r="R568" s="145"/>
      <c r="S568" s="145"/>
      <c r="T568" s="145"/>
      <c r="U568" s="145"/>
      <c r="V568" s="145"/>
      <c r="W568" s="145"/>
      <c r="X568" s="145"/>
      <c r="Y568" s="145"/>
      <c r="Z568" s="145"/>
    </row>
    <row r="569" spans="1:26" ht="15.75" x14ac:dyDescent="0.25">
      <c r="A569" s="145"/>
      <c r="B569" s="145"/>
      <c r="C569" s="145"/>
      <c r="D569" s="145"/>
      <c r="E569" s="145"/>
      <c r="F569" s="145"/>
      <c r="G569" s="145"/>
      <c r="H569" s="145"/>
      <c r="I569" s="145"/>
      <c r="J569" s="145"/>
      <c r="K569" s="145"/>
      <c r="L569" s="145"/>
      <c r="M569" s="145"/>
      <c r="N569" s="145"/>
      <c r="O569" s="145"/>
      <c r="P569" s="145"/>
      <c r="Q569" s="145"/>
      <c r="R569" s="145"/>
      <c r="S569" s="145"/>
      <c r="T569" s="145"/>
      <c r="U569" s="145"/>
      <c r="V569" s="145"/>
      <c r="W569" s="145"/>
      <c r="X569" s="145"/>
      <c r="Y569" s="145"/>
      <c r="Z569" s="145"/>
    </row>
    <row r="570" spans="1:26" ht="15.75" x14ac:dyDescent="0.25">
      <c r="A570" s="145"/>
      <c r="B570" s="145"/>
      <c r="C570" s="145"/>
      <c r="D570" s="145"/>
      <c r="E570" s="145"/>
      <c r="F570" s="145"/>
      <c r="G570" s="145"/>
      <c r="H570" s="145"/>
      <c r="I570" s="145"/>
      <c r="J570" s="145"/>
      <c r="K570" s="145"/>
      <c r="L570" s="145"/>
      <c r="M570" s="145"/>
      <c r="N570" s="145"/>
      <c r="O570" s="145"/>
      <c r="P570" s="145"/>
      <c r="Q570" s="145"/>
      <c r="R570" s="145"/>
      <c r="S570" s="145"/>
      <c r="T570" s="145"/>
      <c r="U570" s="145"/>
      <c r="V570" s="145"/>
      <c r="W570" s="145"/>
      <c r="X570" s="145"/>
      <c r="Y570" s="145"/>
      <c r="Z570" s="145"/>
    </row>
    <row r="571" spans="1:26" ht="15.75" x14ac:dyDescent="0.25">
      <c r="A571" s="145"/>
      <c r="B571" s="145"/>
      <c r="C571" s="145"/>
      <c r="D571" s="145"/>
      <c r="E571" s="145"/>
      <c r="F571" s="145"/>
      <c r="G571" s="145"/>
      <c r="H571" s="145"/>
      <c r="I571" s="145"/>
      <c r="J571" s="145"/>
      <c r="K571" s="145"/>
      <c r="L571" s="145"/>
      <c r="M571" s="145"/>
      <c r="N571" s="145"/>
      <c r="O571" s="145"/>
      <c r="P571" s="145"/>
      <c r="Q571" s="145"/>
      <c r="R571" s="145"/>
      <c r="S571" s="145"/>
      <c r="T571" s="145"/>
      <c r="U571" s="145"/>
      <c r="V571" s="145"/>
      <c r="W571" s="145"/>
      <c r="X571" s="145"/>
      <c r="Y571" s="145"/>
      <c r="Z571" s="145"/>
    </row>
    <row r="572" spans="1:26" ht="15.75" x14ac:dyDescent="0.25">
      <c r="A572" s="145"/>
      <c r="B572" s="145"/>
      <c r="C572" s="145"/>
      <c r="D572" s="145"/>
      <c r="E572" s="145"/>
      <c r="F572" s="145"/>
      <c r="G572" s="145"/>
      <c r="H572" s="145"/>
      <c r="I572" s="145"/>
      <c r="J572" s="145"/>
      <c r="K572" s="145"/>
      <c r="L572" s="145"/>
      <c r="M572" s="145"/>
      <c r="N572" s="145"/>
      <c r="O572" s="145"/>
      <c r="P572" s="145"/>
      <c r="Q572" s="145"/>
      <c r="R572" s="145"/>
      <c r="S572" s="145"/>
      <c r="T572" s="145"/>
      <c r="U572" s="145"/>
      <c r="V572" s="145"/>
      <c r="W572" s="145"/>
      <c r="X572" s="145"/>
      <c r="Y572" s="145"/>
      <c r="Z572" s="145"/>
    </row>
    <row r="573" spans="1:26" ht="15.75" x14ac:dyDescent="0.25">
      <c r="A573" s="145"/>
      <c r="B573" s="145"/>
      <c r="C573" s="145"/>
      <c r="D573" s="145"/>
      <c r="E573" s="145"/>
      <c r="F573" s="145"/>
      <c r="G573" s="145"/>
      <c r="H573" s="145"/>
      <c r="I573" s="145"/>
      <c r="J573" s="145"/>
      <c r="K573" s="145"/>
      <c r="L573" s="145"/>
      <c r="M573" s="145"/>
      <c r="N573" s="145"/>
      <c r="O573" s="145"/>
      <c r="P573" s="145"/>
      <c r="Q573" s="145"/>
      <c r="R573" s="145"/>
      <c r="S573" s="145"/>
      <c r="T573" s="145"/>
      <c r="U573" s="145"/>
      <c r="V573" s="145"/>
      <c r="W573" s="145"/>
      <c r="X573" s="145"/>
      <c r="Y573" s="145"/>
      <c r="Z573" s="145"/>
    </row>
    <row r="574" spans="1:26" ht="15.75" x14ac:dyDescent="0.25">
      <c r="A574" s="145"/>
      <c r="B574" s="145"/>
      <c r="C574" s="145"/>
      <c r="D574" s="145"/>
      <c r="E574" s="145"/>
      <c r="F574" s="145"/>
      <c r="G574" s="145"/>
      <c r="H574" s="145"/>
      <c r="I574" s="145"/>
      <c r="J574" s="145"/>
      <c r="K574" s="145"/>
      <c r="L574" s="145"/>
      <c r="M574" s="145"/>
      <c r="N574" s="145"/>
      <c r="O574" s="145"/>
      <c r="P574" s="145"/>
      <c r="Q574" s="145"/>
      <c r="R574" s="145"/>
      <c r="S574" s="145"/>
      <c r="T574" s="145"/>
      <c r="U574" s="145"/>
      <c r="V574" s="145"/>
      <c r="W574" s="145"/>
      <c r="X574" s="145"/>
      <c r="Y574" s="145"/>
      <c r="Z574" s="145"/>
    </row>
    <row r="575" spans="1:26" ht="15.75" x14ac:dyDescent="0.25">
      <c r="A575" s="145"/>
      <c r="B575" s="145"/>
      <c r="C575" s="145"/>
      <c r="D575" s="145"/>
      <c r="E575" s="145"/>
      <c r="F575" s="145"/>
      <c r="G575" s="145"/>
      <c r="H575" s="145"/>
      <c r="I575" s="145"/>
      <c r="J575" s="145"/>
      <c r="K575" s="145"/>
      <c r="L575" s="145"/>
      <c r="M575" s="145"/>
      <c r="N575" s="145"/>
      <c r="O575" s="145"/>
      <c r="P575" s="145"/>
      <c r="Q575" s="145"/>
      <c r="R575" s="145"/>
      <c r="S575" s="145"/>
      <c r="T575" s="145"/>
      <c r="U575" s="145"/>
      <c r="V575" s="145"/>
      <c r="W575" s="145"/>
      <c r="X575" s="145"/>
      <c r="Y575" s="145"/>
      <c r="Z575" s="145"/>
    </row>
    <row r="576" spans="1:26" ht="15.75" x14ac:dyDescent="0.25">
      <c r="A576" s="145"/>
      <c r="B576" s="145"/>
      <c r="C576" s="145"/>
      <c r="D576" s="145"/>
      <c r="E576" s="145"/>
      <c r="F576" s="145"/>
      <c r="G576" s="145"/>
      <c r="H576" s="145"/>
      <c r="I576" s="145"/>
      <c r="J576" s="145"/>
      <c r="K576" s="145"/>
      <c r="L576" s="145"/>
      <c r="M576" s="145"/>
      <c r="N576" s="145"/>
      <c r="O576" s="145"/>
      <c r="P576" s="145"/>
      <c r="Q576" s="145"/>
      <c r="R576" s="145"/>
      <c r="S576" s="145"/>
      <c r="T576" s="145"/>
      <c r="U576" s="145"/>
      <c r="V576" s="145"/>
      <c r="W576" s="145"/>
      <c r="X576" s="145"/>
      <c r="Y576" s="145"/>
      <c r="Z576" s="145"/>
    </row>
    <row r="577" spans="1:26" ht="15.75" x14ac:dyDescent="0.25">
      <c r="A577" s="145"/>
      <c r="B577" s="145"/>
      <c r="C577" s="145"/>
      <c r="D577" s="145"/>
      <c r="E577" s="145"/>
      <c r="F577" s="145"/>
      <c r="G577" s="145"/>
      <c r="H577" s="145"/>
      <c r="I577" s="145"/>
      <c r="J577" s="145"/>
      <c r="K577" s="145"/>
      <c r="L577" s="145"/>
      <c r="M577" s="145"/>
      <c r="N577" s="145"/>
      <c r="O577" s="145"/>
      <c r="P577" s="145"/>
      <c r="Q577" s="145"/>
      <c r="R577" s="145"/>
      <c r="S577" s="145"/>
      <c r="T577" s="145"/>
      <c r="U577" s="145"/>
      <c r="V577" s="145"/>
      <c r="W577" s="145"/>
      <c r="X577" s="145"/>
      <c r="Y577" s="145"/>
      <c r="Z577" s="145"/>
    </row>
    <row r="578" spans="1:26" ht="15.75" x14ac:dyDescent="0.25">
      <c r="A578" s="145"/>
      <c r="B578" s="145"/>
      <c r="C578" s="145"/>
      <c r="D578" s="145"/>
      <c r="E578" s="145"/>
      <c r="F578" s="145"/>
      <c r="G578" s="145"/>
      <c r="H578" s="145"/>
      <c r="I578" s="145"/>
      <c r="J578" s="145"/>
      <c r="K578" s="145"/>
      <c r="L578" s="145"/>
      <c r="M578" s="145"/>
      <c r="N578" s="145"/>
      <c r="O578" s="145"/>
      <c r="P578" s="145"/>
      <c r="Q578" s="145"/>
      <c r="R578" s="145"/>
      <c r="S578" s="145"/>
      <c r="T578" s="145"/>
      <c r="U578" s="145"/>
      <c r="V578" s="145"/>
      <c r="W578" s="145"/>
      <c r="X578" s="145"/>
      <c r="Y578" s="145"/>
      <c r="Z578" s="145"/>
    </row>
    <row r="579" spans="1:26" ht="15.75" x14ac:dyDescent="0.25">
      <c r="A579" s="145"/>
      <c r="B579" s="145"/>
      <c r="C579" s="145"/>
      <c r="D579" s="145"/>
      <c r="E579" s="145"/>
      <c r="F579" s="145"/>
      <c r="G579" s="145"/>
      <c r="H579" s="145"/>
      <c r="I579" s="145"/>
      <c r="J579" s="145"/>
      <c r="K579" s="145"/>
      <c r="L579" s="145"/>
      <c r="M579" s="145"/>
      <c r="N579" s="145"/>
      <c r="O579" s="145"/>
      <c r="P579" s="145"/>
      <c r="Q579" s="145"/>
      <c r="R579" s="145"/>
      <c r="S579" s="145"/>
      <c r="T579" s="145"/>
      <c r="U579" s="145"/>
      <c r="V579" s="145"/>
      <c r="W579" s="145"/>
      <c r="X579" s="145"/>
      <c r="Y579" s="145"/>
      <c r="Z579" s="145"/>
    </row>
    <row r="580" spans="1:26" ht="15.75" x14ac:dyDescent="0.25">
      <c r="A580" s="145"/>
      <c r="B580" s="145"/>
      <c r="C580" s="145"/>
      <c r="D580" s="145"/>
      <c r="E580" s="145"/>
      <c r="F580" s="145"/>
      <c r="G580" s="145"/>
      <c r="H580" s="145"/>
      <c r="I580" s="145"/>
      <c r="J580" s="145"/>
      <c r="K580" s="145"/>
      <c r="L580" s="145"/>
      <c r="M580" s="145"/>
      <c r="N580" s="145"/>
      <c r="O580" s="145"/>
      <c r="P580" s="145"/>
      <c r="Q580" s="145"/>
      <c r="R580" s="145"/>
      <c r="S580" s="145"/>
      <c r="T580" s="145"/>
      <c r="U580" s="145"/>
      <c r="V580" s="145"/>
      <c r="W580" s="145"/>
      <c r="X580" s="145"/>
      <c r="Y580" s="145"/>
      <c r="Z580" s="145"/>
    </row>
    <row r="581" spans="1:26" ht="15.75" x14ac:dyDescent="0.25">
      <c r="A581" s="145"/>
      <c r="B581" s="145"/>
      <c r="C581" s="145"/>
      <c r="D581" s="145"/>
      <c r="E581" s="145"/>
      <c r="F581" s="145"/>
      <c r="G581" s="145"/>
      <c r="H581" s="145"/>
      <c r="I581" s="145"/>
      <c r="J581" s="145"/>
      <c r="K581" s="145"/>
      <c r="L581" s="145"/>
      <c r="M581" s="145"/>
      <c r="N581" s="145"/>
      <c r="O581" s="145"/>
      <c r="P581" s="145"/>
      <c r="Q581" s="145"/>
      <c r="R581" s="145"/>
      <c r="S581" s="145"/>
      <c r="T581" s="145"/>
      <c r="U581" s="145"/>
      <c r="V581" s="145"/>
      <c r="W581" s="145"/>
      <c r="X581" s="145"/>
      <c r="Y581" s="145"/>
      <c r="Z581" s="145"/>
    </row>
    <row r="582" spans="1:26" ht="15.75" x14ac:dyDescent="0.25">
      <c r="A582" s="145"/>
      <c r="B582" s="145"/>
      <c r="C582" s="145"/>
      <c r="D582" s="145"/>
      <c r="E582" s="145"/>
      <c r="F582" s="145"/>
      <c r="G582" s="145"/>
      <c r="H582" s="145"/>
      <c r="I582" s="145"/>
      <c r="J582" s="145"/>
      <c r="K582" s="145"/>
      <c r="L582" s="145"/>
      <c r="M582" s="145"/>
      <c r="N582" s="145"/>
      <c r="O582" s="145"/>
      <c r="P582" s="145"/>
      <c r="Q582" s="145"/>
      <c r="R582" s="145"/>
      <c r="S582" s="145"/>
      <c r="T582" s="145"/>
      <c r="U582" s="145"/>
      <c r="V582" s="145"/>
      <c r="W582" s="145"/>
      <c r="X582" s="145"/>
      <c r="Y582" s="145"/>
      <c r="Z582" s="145"/>
    </row>
    <row r="583" spans="1:26" ht="15.75" x14ac:dyDescent="0.25">
      <c r="A583" s="145"/>
      <c r="B583" s="145"/>
      <c r="C583" s="145"/>
      <c r="D583" s="145"/>
      <c r="E583" s="145"/>
      <c r="F583" s="145"/>
      <c r="G583" s="145"/>
      <c r="H583" s="145"/>
      <c r="I583" s="145"/>
      <c r="J583" s="145"/>
      <c r="K583" s="145"/>
      <c r="L583" s="145"/>
      <c r="M583" s="145"/>
      <c r="N583" s="145"/>
      <c r="O583" s="145"/>
      <c r="P583" s="145"/>
      <c r="Q583" s="145"/>
      <c r="R583" s="145"/>
      <c r="S583" s="145"/>
      <c r="T583" s="145"/>
      <c r="U583" s="145"/>
      <c r="V583" s="145"/>
      <c r="W583" s="145"/>
      <c r="X583" s="145"/>
      <c r="Y583" s="145"/>
      <c r="Z583" s="145"/>
    </row>
    <row r="584" spans="1:26" ht="15.75" x14ac:dyDescent="0.25">
      <c r="A584" s="145"/>
      <c r="B584" s="145"/>
      <c r="C584" s="145"/>
      <c r="D584" s="145"/>
      <c r="E584" s="145"/>
      <c r="F584" s="145"/>
      <c r="G584" s="145"/>
      <c r="H584" s="145"/>
      <c r="I584" s="145"/>
      <c r="J584" s="145"/>
      <c r="K584" s="145"/>
      <c r="L584" s="145"/>
      <c r="M584" s="145"/>
      <c r="N584" s="145"/>
      <c r="O584" s="145"/>
      <c r="P584" s="145"/>
      <c r="Q584" s="145"/>
      <c r="R584" s="145"/>
      <c r="S584" s="145"/>
      <c r="T584" s="145"/>
      <c r="U584" s="145"/>
      <c r="V584" s="145"/>
      <c r="W584" s="145"/>
      <c r="X584" s="145"/>
      <c r="Y584" s="145"/>
      <c r="Z584" s="145"/>
    </row>
    <row r="585" spans="1:26" ht="15.75" x14ac:dyDescent="0.25">
      <c r="A585" s="145"/>
      <c r="B585" s="145"/>
      <c r="C585" s="145"/>
      <c r="D585" s="145"/>
      <c r="E585" s="145"/>
      <c r="F585" s="145"/>
      <c r="G585" s="145"/>
      <c r="H585" s="145"/>
      <c r="I585" s="145"/>
      <c r="J585" s="145"/>
      <c r="K585" s="145"/>
      <c r="L585" s="145"/>
      <c r="M585" s="145"/>
      <c r="N585" s="145"/>
      <c r="O585" s="145"/>
      <c r="P585" s="145"/>
      <c r="Q585" s="145"/>
      <c r="R585" s="145"/>
      <c r="S585" s="145"/>
      <c r="T585" s="145"/>
      <c r="U585" s="145"/>
      <c r="V585" s="145"/>
      <c r="W585" s="145"/>
      <c r="X585" s="145"/>
      <c r="Y585" s="145"/>
      <c r="Z585" s="145"/>
    </row>
    <row r="586" spans="1:26" ht="15.75" x14ac:dyDescent="0.25">
      <c r="A586" s="145"/>
      <c r="B586" s="145"/>
      <c r="C586" s="145"/>
      <c r="D586" s="145"/>
      <c r="E586" s="145"/>
      <c r="F586" s="145"/>
      <c r="G586" s="145"/>
      <c r="H586" s="145"/>
      <c r="I586" s="145"/>
      <c r="J586" s="145"/>
      <c r="K586" s="145"/>
      <c r="L586" s="145"/>
      <c r="M586" s="145"/>
      <c r="N586" s="145"/>
      <c r="O586" s="145"/>
      <c r="P586" s="145"/>
      <c r="Q586" s="145"/>
      <c r="R586" s="145"/>
      <c r="S586" s="145"/>
      <c r="T586" s="145"/>
      <c r="U586" s="145"/>
      <c r="V586" s="145"/>
      <c r="W586" s="145"/>
      <c r="X586" s="145"/>
      <c r="Y586" s="145"/>
      <c r="Z586" s="145"/>
    </row>
    <row r="587" spans="1:26" ht="15.75" x14ac:dyDescent="0.25">
      <c r="A587" s="145"/>
      <c r="B587" s="145"/>
      <c r="C587" s="145"/>
      <c r="D587" s="145"/>
      <c r="E587" s="145"/>
      <c r="F587" s="145"/>
      <c r="G587" s="145"/>
      <c r="H587" s="145"/>
      <c r="I587" s="145"/>
      <c r="J587" s="145"/>
      <c r="K587" s="145"/>
      <c r="L587" s="145"/>
      <c r="M587" s="145"/>
      <c r="N587" s="145"/>
      <c r="O587" s="145"/>
      <c r="P587" s="145"/>
      <c r="Q587" s="145"/>
      <c r="R587" s="145"/>
      <c r="S587" s="145"/>
      <c r="T587" s="145"/>
      <c r="U587" s="145"/>
      <c r="V587" s="145"/>
      <c r="W587" s="145"/>
      <c r="X587" s="145"/>
      <c r="Y587" s="145"/>
      <c r="Z587" s="145"/>
    </row>
    <row r="588" spans="1:26" ht="15.75" x14ac:dyDescent="0.25">
      <c r="A588" s="145"/>
      <c r="B588" s="145"/>
      <c r="C588" s="145"/>
      <c r="D588" s="145"/>
      <c r="E588" s="145"/>
      <c r="F588" s="145"/>
      <c r="G588" s="145"/>
      <c r="H588" s="145"/>
      <c r="I588" s="145"/>
      <c r="J588" s="145"/>
      <c r="K588" s="145"/>
      <c r="L588" s="145"/>
      <c r="M588" s="145"/>
      <c r="N588" s="145"/>
      <c r="O588" s="145"/>
      <c r="P588" s="145"/>
      <c r="Q588" s="145"/>
      <c r="R588" s="145"/>
      <c r="S588" s="145"/>
      <c r="T588" s="145"/>
      <c r="U588" s="145"/>
      <c r="V588" s="145"/>
      <c r="W588" s="145"/>
      <c r="X588" s="145"/>
      <c r="Y588" s="145"/>
      <c r="Z588" s="145"/>
    </row>
    <row r="589" spans="1:26" ht="15.75" x14ac:dyDescent="0.25">
      <c r="A589" s="145"/>
      <c r="B589" s="145"/>
      <c r="C589" s="145"/>
      <c r="D589" s="145"/>
      <c r="E589" s="145"/>
      <c r="F589" s="145"/>
      <c r="G589" s="145"/>
      <c r="H589" s="145"/>
      <c r="I589" s="145"/>
      <c r="J589" s="145"/>
      <c r="K589" s="145"/>
      <c r="L589" s="145"/>
      <c r="M589" s="145"/>
      <c r="N589" s="145"/>
      <c r="O589" s="145"/>
      <c r="P589" s="145"/>
      <c r="Q589" s="145"/>
      <c r="R589" s="145"/>
      <c r="S589" s="145"/>
      <c r="T589" s="145"/>
      <c r="U589" s="145"/>
      <c r="V589" s="145"/>
      <c r="W589" s="145"/>
      <c r="X589" s="145"/>
      <c r="Y589" s="145"/>
      <c r="Z589" s="145"/>
    </row>
    <row r="590" spans="1:26" ht="15.75" x14ac:dyDescent="0.25">
      <c r="A590" s="145"/>
      <c r="B590" s="145"/>
      <c r="C590" s="145"/>
      <c r="D590" s="145"/>
      <c r="E590" s="145"/>
      <c r="F590" s="145"/>
      <c r="G590" s="145"/>
      <c r="H590" s="145"/>
      <c r="I590" s="145"/>
      <c r="J590" s="145"/>
      <c r="K590" s="145"/>
      <c r="L590" s="145"/>
      <c r="M590" s="145"/>
      <c r="N590" s="145"/>
      <c r="O590" s="145"/>
      <c r="P590" s="145"/>
      <c r="Q590" s="145"/>
      <c r="R590" s="145"/>
      <c r="S590" s="145"/>
      <c r="T590" s="145"/>
      <c r="U590" s="145"/>
      <c r="V590" s="145"/>
      <c r="W590" s="145"/>
      <c r="X590" s="145"/>
      <c r="Y590" s="145"/>
      <c r="Z590" s="145"/>
    </row>
    <row r="591" spans="1:26" ht="15.75" x14ac:dyDescent="0.25">
      <c r="A591" s="145"/>
      <c r="B591" s="145"/>
      <c r="C591" s="145"/>
      <c r="D591" s="145"/>
      <c r="E591" s="145"/>
      <c r="F591" s="145"/>
      <c r="G591" s="145"/>
      <c r="H591" s="145"/>
      <c r="I591" s="145"/>
      <c r="J591" s="145"/>
      <c r="K591" s="145"/>
      <c r="L591" s="145"/>
      <c r="M591" s="145"/>
      <c r="N591" s="145"/>
      <c r="O591" s="145"/>
      <c r="P591" s="145"/>
      <c r="Q591" s="145"/>
      <c r="R591" s="145"/>
      <c r="S591" s="145"/>
      <c r="T591" s="145"/>
      <c r="U591" s="145"/>
      <c r="V591" s="145"/>
      <c r="W591" s="145"/>
      <c r="X591" s="145"/>
      <c r="Y591" s="145"/>
      <c r="Z591" s="145"/>
    </row>
    <row r="592" spans="1:26" ht="15.75" x14ac:dyDescent="0.25">
      <c r="A592" s="145"/>
      <c r="B592" s="145"/>
      <c r="C592" s="145"/>
      <c r="D592" s="145"/>
      <c r="E592" s="145"/>
      <c r="F592" s="145"/>
      <c r="G592" s="145"/>
      <c r="H592" s="145"/>
      <c r="I592" s="145"/>
      <c r="J592" s="145"/>
      <c r="K592" s="145"/>
      <c r="L592" s="145"/>
      <c r="M592" s="145"/>
      <c r="N592" s="145"/>
      <c r="O592" s="145"/>
      <c r="P592" s="145"/>
      <c r="Q592" s="145"/>
      <c r="R592" s="145"/>
      <c r="S592" s="145"/>
      <c r="T592" s="145"/>
      <c r="U592" s="145"/>
      <c r="V592" s="145"/>
      <c r="W592" s="145"/>
      <c r="X592" s="145"/>
      <c r="Y592" s="145"/>
      <c r="Z592" s="145"/>
    </row>
    <row r="593" spans="1:26" ht="15.75" x14ac:dyDescent="0.25">
      <c r="A593" s="145"/>
      <c r="B593" s="145"/>
      <c r="C593" s="145"/>
      <c r="D593" s="145"/>
      <c r="E593" s="145"/>
      <c r="F593" s="145"/>
      <c r="G593" s="145"/>
      <c r="H593" s="145"/>
      <c r="I593" s="145"/>
      <c r="J593" s="145"/>
      <c r="K593" s="145"/>
      <c r="L593" s="145"/>
      <c r="M593" s="145"/>
      <c r="N593" s="145"/>
      <c r="O593" s="145"/>
      <c r="P593" s="145"/>
      <c r="Q593" s="145"/>
      <c r="R593" s="145"/>
      <c r="S593" s="145"/>
      <c r="T593" s="145"/>
      <c r="U593" s="145"/>
      <c r="V593" s="145"/>
      <c r="W593" s="145"/>
      <c r="X593" s="145"/>
      <c r="Y593" s="145"/>
      <c r="Z593" s="145"/>
    </row>
    <row r="594" spans="1:26" ht="15.75" x14ac:dyDescent="0.25">
      <c r="A594" s="145"/>
      <c r="B594" s="145"/>
      <c r="C594" s="145"/>
      <c r="D594" s="145"/>
      <c r="E594" s="145"/>
      <c r="F594" s="145"/>
      <c r="G594" s="145"/>
      <c r="H594" s="145"/>
      <c r="I594" s="145"/>
      <c r="J594" s="145"/>
      <c r="K594" s="145"/>
      <c r="L594" s="145"/>
      <c r="M594" s="145"/>
      <c r="N594" s="145"/>
      <c r="O594" s="145"/>
      <c r="P594" s="145"/>
      <c r="Q594" s="145"/>
      <c r="R594" s="145"/>
      <c r="S594" s="145"/>
      <c r="T594" s="145"/>
      <c r="U594" s="145"/>
      <c r="V594" s="145"/>
      <c r="W594" s="145"/>
      <c r="X594" s="145"/>
      <c r="Y594" s="145"/>
      <c r="Z594" s="145"/>
    </row>
    <row r="595" spans="1:26" ht="15.75" x14ac:dyDescent="0.25">
      <c r="A595" s="145"/>
      <c r="B595" s="145"/>
      <c r="C595" s="145"/>
      <c r="D595" s="145"/>
      <c r="E595" s="145"/>
      <c r="F595" s="145"/>
      <c r="G595" s="145"/>
      <c r="H595" s="145"/>
      <c r="I595" s="145"/>
      <c r="J595" s="145"/>
      <c r="K595" s="145"/>
      <c r="L595" s="145"/>
      <c r="M595" s="145"/>
      <c r="N595" s="145"/>
      <c r="O595" s="145"/>
      <c r="P595" s="145"/>
      <c r="Q595" s="145"/>
      <c r="R595" s="145"/>
      <c r="S595" s="145"/>
      <c r="T595" s="145"/>
      <c r="U595" s="145"/>
      <c r="V595" s="145"/>
      <c r="W595" s="145"/>
      <c r="X595" s="145"/>
      <c r="Y595" s="145"/>
      <c r="Z595" s="145"/>
    </row>
    <row r="596" spans="1:26" ht="15.75" x14ac:dyDescent="0.25">
      <c r="A596" s="145"/>
      <c r="B596" s="145"/>
      <c r="C596" s="145"/>
      <c r="D596" s="145"/>
      <c r="E596" s="145"/>
      <c r="F596" s="145"/>
      <c r="G596" s="145"/>
      <c r="H596" s="145"/>
      <c r="I596" s="145"/>
      <c r="J596" s="145"/>
      <c r="K596" s="145"/>
      <c r="L596" s="145"/>
      <c r="M596" s="145"/>
      <c r="N596" s="145"/>
      <c r="O596" s="145"/>
      <c r="P596" s="145"/>
      <c r="Q596" s="145"/>
      <c r="R596" s="145"/>
      <c r="S596" s="145"/>
      <c r="T596" s="145"/>
      <c r="U596" s="145"/>
      <c r="V596" s="145"/>
      <c r="W596" s="145"/>
      <c r="X596" s="145"/>
      <c r="Y596" s="145"/>
      <c r="Z596" s="145"/>
    </row>
    <row r="597" spans="1:26" ht="15.75" x14ac:dyDescent="0.25">
      <c r="A597" s="145"/>
      <c r="B597" s="145"/>
      <c r="C597" s="145"/>
      <c r="D597" s="145"/>
      <c r="E597" s="145"/>
      <c r="F597" s="145"/>
      <c r="G597" s="145"/>
      <c r="H597" s="145"/>
      <c r="I597" s="145"/>
      <c r="J597" s="145"/>
      <c r="K597" s="145"/>
      <c r="L597" s="145"/>
      <c r="M597" s="145"/>
      <c r="N597" s="145"/>
      <c r="O597" s="145"/>
      <c r="P597" s="145"/>
      <c r="Q597" s="145"/>
      <c r="R597" s="145"/>
      <c r="S597" s="145"/>
      <c r="T597" s="145"/>
      <c r="U597" s="145"/>
      <c r="V597" s="145"/>
      <c r="W597" s="145"/>
      <c r="X597" s="145"/>
      <c r="Y597" s="145"/>
      <c r="Z597" s="145"/>
    </row>
    <row r="598" spans="1:26" ht="15.75" x14ac:dyDescent="0.25">
      <c r="A598" s="145"/>
      <c r="B598" s="145"/>
      <c r="C598" s="145"/>
      <c r="D598" s="145"/>
      <c r="E598" s="145"/>
      <c r="F598" s="145"/>
      <c r="G598" s="145"/>
      <c r="H598" s="145"/>
      <c r="I598" s="145"/>
      <c r="J598" s="145"/>
      <c r="K598" s="145"/>
      <c r="L598" s="145"/>
      <c r="M598" s="145"/>
      <c r="N598" s="145"/>
      <c r="O598" s="145"/>
      <c r="P598" s="145"/>
      <c r="Q598" s="145"/>
      <c r="R598" s="145"/>
      <c r="S598" s="145"/>
      <c r="T598" s="145"/>
      <c r="U598" s="145"/>
      <c r="V598" s="145"/>
      <c r="W598" s="145"/>
      <c r="X598" s="145"/>
      <c r="Y598" s="145"/>
      <c r="Z598" s="145"/>
    </row>
    <row r="599" spans="1:26" ht="15.75" x14ac:dyDescent="0.25">
      <c r="A599" s="145"/>
      <c r="B599" s="145"/>
      <c r="C599" s="145"/>
      <c r="D599" s="145"/>
      <c r="E599" s="145"/>
      <c r="F599" s="145"/>
      <c r="G599" s="145"/>
      <c r="H599" s="145"/>
      <c r="I599" s="145"/>
      <c r="J599" s="145"/>
      <c r="K599" s="145"/>
      <c r="L599" s="145"/>
      <c r="M599" s="145"/>
      <c r="N599" s="145"/>
      <c r="O599" s="145"/>
      <c r="P599" s="145"/>
      <c r="Q599" s="145"/>
      <c r="R599" s="145"/>
      <c r="S599" s="145"/>
      <c r="T599" s="145"/>
      <c r="U599" s="145"/>
      <c r="V599" s="145"/>
      <c r="W599" s="145"/>
      <c r="X599" s="145"/>
      <c r="Y599" s="145"/>
      <c r="Z599" s="145"/>
    </row>
    <row r="600" spans="1:26" ht="15.75" x14ac:dyDescent="0.25">
      <c r="A600" s="145"/>
      <c r="B600" s="145"/>
      <c r="C600" s="145"/>
      <c r="D600" s="145"/>
      <c r="E600" s="145"/>
      <c r="F600" s="145"/>
      <c r="G600" s="145"/>
      <c r="H600" s="145"/>
      <c r="I600" s="145"/>
      <c r="J600" s="145"/>
      <c r="K600" s="145"/>
      <c r="L600" s="145"/>
      <c r="M600" s="145"/>
      <c r="N600" s="145"/>
      <c r="O600" s="145"/>
      <c r="P600" s="145"/>
      <c r="Q600" s="145"/>
      <c r="R600" s="145"/>
      <c r="S600" s="145"/>
      <c r="T600" s="145"/>
      <c r="U600" s="145"/>
      <c r="V600" s="145"/>
      <c r="W600" s="145"/>
      <c r="X600" s="145"/>
      <c r="Y600" s="145"/>
      <c r="Z600" s="145"/>
    </row>
    <row r="601" spans="1:26" ht="15.75" x14ac:dyDescent="0.25">
      <c r="A601" s="145"/>
      <c r="B601" s="145"/>
      <c r="C601" s="145"/>
      <c r="D601" s="145"/>
      <c r="E601" s="145"/>
      <c r="F601" s="145"/>
      <c r="G601" s="145"/>
      <c r="H601" s="145"/>
      <c r="I601" s="145"/>
      <c r="J601" s="145"/>
      <c r="K601" s="145"/>
      <c r="L601" s="145"/>
      <c r="M601" s="145"/>
      <c r="N601" s="145"/>
      <c r="O601" s="145"/>
      <c r="P601" s="145"/>
      <c r="Q601" s="145"/>
      <c r="R601" s="145"/>
      <c r="S601" s="145"/>
      <c r="T601" s="145"/>
      <c r="U601" s="145"/>
      <c r="V601" s="145"/>
      <c r="W601" s="145"/>
      <c r="X601" s="145"/>
      <c r="Y601" s="145"/>
      <c r="Z601" s="145"/>
    </row>
    <row r="602" spans="1:26" ht="15.75" x14ac:dyDescent="0.25">
      <c r="A602" s="145"/>
      <c r="B602" s="145"/>
      <c r="C602" s="145"/>
      <c r="D602" s="145"/>
      <c r="E602" s="145"/>
      <c r="F602" s="145"/>
      <c r="G602" s="145"/>
      <c r="H602" s="145"/>
      <c r="I602" s="145"/>
      <c r="J602" s="145"/>
      <c r="K602" s="145"/>
      <c r="L602" s="145"/>
      <c r="M602" s="145"/>
      <c r="N602" s="145"/>
      <c r="O602" s="145"/>
      <c r="P602" s="145"/>
      <c r="Q602" s="145"/>
      <c r="R602" s="145"/>
      <c r="S602" s="145"/>
      <c r="T602" s="145"/>
      <c r="U602" s="145"/>
      <c r="V602" s="145"/>
      <c r="W602" s="145"/>
      <c r="X602" s="145"/>
      <c r="Y602" s="145"/>
      <c r="Z602" s="145"/>
    </row>
    <row r="603" spans="1:26" ht="15.75" x14ac:dyDescent="0.25">
      <c r="A603" s="145"/>
      <c r="B603" s="145"/>
      <c r="C603" s="145"/>
      <c r="D603" s="145"/>
      <c r="E603" s="145"/>
      <c r="F603" s="145"/>
      <c r="G603" s="145"/>
      <c r="H603" s="145"/>
      <c r="I603" s="145"/>
      <c r="J603" s="145"/>
      <c r="K603" s="145"/>
      <c r="L603" s="145"/>
      <c r="M603" s="145"/>
      <c r="N603" s="145"/>
      <c r="O603" s="145"/>
      <c r="P603" s="145"/>
      <c r="Q603" s="145"/>
      <c r="R603" s="145"/>
      <c r="S603" s="145"/>
      <c r="T603" s="145"/>
      <c r="U603" s="145"/>
      <c r="V603" s="145"/>
      <c r="W603" s="145"/>
      <c r="X603" s="145"/>
      <c r="Y603" s="145"/>
      <c r="Z603" s="145"/>
    </row>
    <row r="604" spans="1:26" ht="15.75" x14ac:dyDescent="0.25">
      <c r="A604" s="145"/>
      <c r="B604" s="145"/>
      <c r="C604" s="145"/>
      <c r="D604" s="145"/>
      <c r="E604" s="145"/>
      <c r="F604" s="145"/>
      <c r="G604" s="145"/>
      <c r="H604" s="145"/>
      <c r="I604" s="145"/>
      <c r="J604" s="145"/>
      <c r="K604" s="145"/>
      <c r="L604" s="145"/>
      <c r="M604" s="145"/>
      <c r="N604" s="145"/>
      <c r="O604" s="145"/>
      <c r="P604" s="145"/>
      <c r="Q604" s="145"/>
      <c r="R604" s="145"/>
      <c r="S604" s="145"/>
      <c r="T604" s="145"/>
      <c r="U604" s="145"/>
      <c r="V604" s="145"/>
      <c r="W604" s="145"/>
      <c r="X604" s="145"/>
      <c r="Y604" s="145"/>
      <c r="Z604" s="145"/>
    </row>
    <row r="605" spans="1:26" ht="15.75" x14ac:dyDescent="0.25">
      <c r="A605" s="145"/>
      <c r="B605" s="145"/>
      <c r="C605" s="145"/>
      <c r="D605" s="145"/>
      <c r="E605" s="145"/>
      <c r="F605" s="145"/>
      <c r="G605" s="145"/>
      <c r="H605" s="145"/>
      <c r="I605" s="145"/>
      <c r="J605" s="145"/>
      <c r="K605" s="145"/>
      <c r="L605" s="145"/>
      <c r="M605" s="145"/>
      <c r="N605" s="145"/>
      <c r="O605" s="145"/>
      <c r="P605" s="145"/>
      <c r="Q605" s="145"/>
      <c r="R605" s="145"/>
      <c r="S605" s="145"/>
      <c r="T605" s="145"/>
      <c r="U605" s="145"/>
      <c r="V605" s="145"/>
      <c r="W605" s="145"/>
      <c r="X605" s="145"/>
      <c r="Y605" s="145"/>
      <c r="Z605" s="145"/>
    </row>
    <row r="606" spans="1:26" ht="15.75" x14ac:dyDescent="0.25">
      <c r="A606" s="145"/>
      <c r="B606" s="145"/>
      <c r="C606" s="145"/>
      <c r="D606" s="145"/>
      <c r="E606" s="145"/>
      <c r="F606" s="145"/>
      <c r="G606" s="145"/>
      <c r="H606" s="145"/>
      <c r="I606" s="145"/>
      <c r="J606" s="145"/>
      <c r="K606" s="145"/>
      <c r="L606" s="145"/>
      <c r="M606" s="145"/>
      <c r="N606" s="145"/>
      <c r="O606" s="145"/>
      <c r="P606" s="145"/>
      <c r="Q606" s="145"/>
      <c r="R606" s="145"/>
      <c r="S606" s="145"/>
      <c r="T606" s="145"/>
      <c r="U606" s="145"/>
      <c r="V606" s="145"/>
      <c r="W606" s="145"/>
      <c r="X606" s="145"/>
      <c r="Y606" s="145"/>
      <c r="Z606" s="145"/>
    </row>
    <row r="607" spans="1:26" ht="15.75" x14ac:dyDescent="0.25">
      <c r="A607" s="145"/>
      <c r="B607" s="145"/>
      <c r="C607" s="145"/>
      <c r="D607" s="145"/>
      <c r="E607" s="145"/>
      <c r="F607" s="145"/>
      <c r="G607" s="145"/>
      <c r="H607" s="145"/>
      <c r="I607" s="145"/>
      <c r="J607" s="145"/>
      <c r="K607" s="145"/>
      <c r="L607" s="145"/>
      <c r="M607" s="145"/>
      <c r="N607" s="145"/>
      <c r="O607" s="145"/>
      <c r="P607" s="145"/>
      <c r="Q607" s="145"/>
      <c r="R607" s="145"/>
      <c r="S607" s="145"/>
      <c r="T607" s="145"/>
      <c r="U607" s="145"/>
      <c r="V607" s="145"/>
      <c r="W607" s="145"/>
      <c r="X607" s="145"/>
      <c r="Y607" s="145"/>
      <c r="Z607" s="145"/>
    </row>
    <row r="608" spans="1:26" ht="15.75" x14ac:dyDescent="0.25">
      <c r="A608" s="145"/>
      <c r="B608" s="145"/>
      <c r="C608" s="145"/>
      <c r="D608" s="145"/>
      <c r="E608" s="145"/>
      <c r="F608" s="145"/>
      <c r="G608" s="145"/>
      <c r="H608" s="145"/>
      <c r="I608" s="145"/>
      <c r="J608" s="145"/>
      <c r="K608" s="145"/>
      <c r="L608" s="145"/>
      <c r="M608" s="145"/>
      <c r="N608" s="145"/>
      <c r="O608" s="145"/>
      <c r="P608" s="145"/>
      <c r="Q608" s="145"/>
      <c r="R608" s="145"/>
      <c r="S608" s="145"/>
      <c r="T608" s="145"/>
      <c r="U608" s="145"/>
      <c r="V608" s="145"/>
      <c r="W608" s="145"/>
      <c r="X608" s="145"/>
      <c r="Y608" s="145"/>
      <c r="Z608" s="145"/>
    </row>
    <row r="609" spans="1:26" ht="15.75" x14ac:dyDescent="0.25">
      <c r="A609" s="145"/>
      <c r="B609" s="145"/>
      <c r="C609" s="145"/>
      <c r="D609" s="145"/>
      <c r="E609" s="145"/>
      <c r="F609" s="145"/>
      <c r="G609" s="145"/>
      <c r="H609" s="145"/>
      <c r="I609" s="145"/>
      <c r="J609" s="145"/>
      <c r="K609" s="145"/>
      <c r="L609" s="145"/>
      <c r="M609" s="145"/>
      <c r="N609" s="145"/>
      <c r="O609" s="145"/>
      <c r="P609" s="145"/>
      <c r="Q609" s="145"/>
      <c r="R609" s="145"/>
      <c r="S609" s="145"/>
      <c r="T609" s="145"/>
      <c r="U609" s="145"/>
      <c r="V609" s="145"/>
      <c r="W609" s="145"/>
      <c r="X609" s="145"/>
      <c r="Y609" s="145"/>
      <c r="Z609" s="145"/>
    </row>
    <row r="610" spans="1:26" ht="15.75" x14ac:dyDescent="0.25">
      <c r="A610" s="145"/>
      <c r="B610" s="145"/>
      <c r="C610" s="145"/>
      <c r="D610" s="145"/>
      <c r="E610" s="145"/>
      <c r="F610" s="145"/>
      <c r="G610" s="145"/>
      <c r="H610" s="145"/>
      <c r="I610" s="145"/>
      <c r="J610" s="145"/>
      <c r="K610" s="145"/>
      <c r="L610" s="145"/>
      <c r="M610" s="145"/>
      <c r="N610" s="145"/>
      <c r="O610" s="145"/>
      <c r="P610" s="145"/>
      <c r="Q610" s="145"/>
      <c r="R610" s="145"/>
      <c r="S610" s="145"/>
      <c r="T610" s="145"/>
      <c r="U610" s="145"/>
      <c r="V610" s="145"/>
      <c r="W610" s="145"/>
      <c r="X610" s="145"/>
      <c r="Y610" s="145"/>
      <c r="Z610" s="145"/>
    </row>
    <row r="611" spans="1:26" ht="15.75" x14ac:dyDescent="0.25">
      <c r="A611" s="145"/>
      <c r="B611" s="145"/>
      <c r="C611" s="145"/>
      <c r="D611" s="145"/>
      <c r="E611" s="145"/>
      <c r="F611" s="145"/>
      <c r="G611" s="145"/>
      <c r="H611" s="145"/>
      <c r="I611" s="145"/>
      <c r="J611" s="145"/>
      <c r="K611" s="145"/>
      <c r="L611" s="145"/>
      <c r="M611" s="145"/>
      <c r="N611" s="145"/>
      <c r="O611" s="145"/>
      <c r="P611" s="145"/>
      <c r="Q611" s="145"/>
      <c r="R611" s="145"/>
      <c r="S611" s="145"/>
      <c r="T611" s="145"/>
      <c r="U611" s="145"/>
      <c r="V611" s="145"/>
      <c r="W611" s="145"/>
      <c r="X611" s="145"/>
      <c r="Y611" s="145"/>
      <c r="Z611" s="145"/>
    </row>
    <row r="612" spans="1:26" ht="15.75" x14ac:dyDescent="0.25">
      <c r="A612" s="145"/>
      <c r="B612" s="145"/>
      <c r="C612" s="145"/>
      <c r="D612" s="145"/>
      <c r="E612" s="145"/>
      <c r="F612" s="145"/>
      <c r="G612" s="145"/>
      <c r="H612" s="145"/>
      <c r="I612" s="145"/>
      <c r="J612" s="145"/>
      <c r="K612" s="145"/>
      <c r="L612" s="145"/>
      <c r="M612" s="145"/>
      <c r="N612" s="145"/>
      <c r="O612" s="145"/>
      <c r="P612" s="145"/>
      <c r="Q612" s="145"/>
      <c r="R612" s="145"/>
      <c r="S612" s="145"/>
      <c r="T612" s="145"/>
      <c r="U612" s="145"/>
      <c r="V612" s="145"/>
      <c r="W612" s="145"/>
      <c r="X612" s="145"/>
      <c r="Y612" s="145"/>
      <c r="Z612" s="145"/>
    </row>
    <row r="613" spans="1:26" ht="15.75" x14ac:dyDescent="0.25">
      <c r="A613" s="145"/>
      <c r="B613" s="145"/>
      <c r="C613" s="145"/>
      <c r="D613" s="145"/>
      <c r="E613" s="145"/>
      <c r="F613" s="145"/>
      <c r="G613" s="145"/>
      <c r="H613" s="145"/>
      <c r="I613" s="145"/>
      <c r="J613" s="145"/>
      <c r="K613" s="145"/>
      <c r="L613" s="145"/>
      <c r="M613" s="145"/>
      <c r="N613" s="145"/>
      <c r="O613" s="145"/>
      <c r="P613" s="145"/>
      <c r="Q613" s="145"/>
      <c r="R613" s="145"/>
      <c r="S613" s="145"/>
      <c r="T613" s="145"/>
      <c r="U613" s="145"/>
      <c r="V613" s="145"/>
      <c r="W613" s="145"/>
      <c r="X613" s="145"/>
      <c r="Y613" s="145"/>
      <c r="Z613" s="145"/>
    </row>
    <row r="614" spans="1:26" ht="15.75" x14ac:dyDescent="0.25">
      <c r="A614" s="145"/>
      <c r="B614" s="145"/>
      <c r="C614" s="145"/>
      <c r="D614" s="145"/>
      <c r="E614" s="145"/>
      <c r="F614" s="145"/>
      <c r="G614" s="145"/>
      <c r="H614" s="145"/>
      <c r="I614" s="145"/>
      <c r="J614" s="145"/>
      <c r="K614" s="145"/>
      <c r="L614" s="145"/>
      <c r="M614" s="145"/>
      <c r="N614" s="145"/>
      <c r="O614" s="145"/>
      <c r="P614" s="145"/>
      <c r="Q614" s="145"/>
      <c r="R614" s="145"/>
      <c r="S614" s="145"/>
      <c r="T614" s="145"/>
      <c r="U614" s="145"/>
      <c r="V614" s="145"/>
      <c r="W614" s="145"/>
      <c r="X614" s="145"/>
      <c r="Y614" s="145"/>
      <c r="Z614" s="145"/>
    </row>
    <row r="615" spans="1:26" ht="15.75" x14ac:dyDescent="0.25">
      <c r="A615" s="145"/>
      <c r="B615" s="145"/>
      <c r="C615" s="145"/>
      <c r="D615" s="145"/>
      <c r="E615" s="145"/>
      <c r="F615" s="145"/>
      <c r="G615" s="145"/>
      <c r="H615" s="145"/>
      <c r="I615" s="145"/>
      <c r="J615" s="145"/>
      <c r="K615" s="145"/>
      <c r="L615" s="145"/>
      <c r="M615" s="145"/>
      <c r="N615" s="145"/>
      <c r="O615" s="145"/>
      <c r="P615" s="145"/>
      <c r="Q615" s="145"/>
      <c r="R615" s="145"/>
      <c r="S615" s="145"/>
      <c r="T615" s="145"/>
      <c r="U615" s="145"/>
      <c r="V615" s="145"/>
      <c r="W615" s="145"/>
      <c r="X615" s="145"/>
      <c r="Y615" s="145"/>
      <c r="Z615" s="145"/>
    </row>
    <row r="616" spans="1:26" ht="15.75" x14ac:dyDescent="0.25">
      <c r="A616" s="145"/>
      <c r="B616" s="145"/>
      <c r="C616" s="145"/>
      <c r="D616" s="145"/>
      <c r="E616" s="145"/>
      <c r="F616" s="145"/>
      <c r="G616" s="145"/>
      <c r="H616" s="145"/>
      <c r="I616" s="145"/>
      <c r="J616" s="145"/>
      <c r="K616" s="145"/>
      <c r="L616" s="145"/>
      <c r="M616" s="145"/>
      <c r="N616" s="145"/>
      <c r="O616" s="145"/>
      <c r="P616" s="145"/>
      <c r="Q616" s="145"/>
      <c r="R616" s="145"/>
      <c r="S616" s="145"/>
      <c r="T616" s="145"/>
      <c r="U616" s="145"/>
      <c r="V616" s="145"/>
      <c r="W616" s="145"/>
      <c r="X616" s="145"/>
      <c r="Y616" s="145"/>
      <c r="Z616" s="145"/>
    </row>
    <row r="617" spans="1:26" ht="15.75" x14ac:dyDescent="0.25">
      <c r="A617" s="145"/>
      <c r="B617" s="145"/>
      <c r="C617" s="145"/>
      <c r="D617" s="145"/>
      <c r="E617" s="145"/>
      <c r="F617" s="145"/>
      <c r="G617" s="145"/>
      <c r="H617" s="145"/>
      <c r="I617" s="145"/>
      <c r="J617" s="145"/>
      <c r="K617" s="145"/>
      <c r="L617" s="145"/>
      <c r="M617" s="145"/>
      <c r="N617" s="145"/>
      <c r="O617" s="145"/>
      <c r="P617" s="145"/>
      <c r="Q617" s="145"/>
      <c r="R617" s="145"/>
      <c r="S617" s="145"/>
      <c r="T617" s="145"/>
      <c r="U617" s="145"/>
      <c r="V617" s="145"/>
      <c r="W617" s="145"/>
      <c r="X617" s="145"/>
      <c r="Y617" s="145"/>
      <c r="Z617" s="145"/>
    </row>
    <row r="618" spans="1:26" ht="15.75" x14ac:dyDescent="0.25">
      <c r="A618" s="145"/>
      <c r="B618" s="145"/>
      <c r="C618" s="145"/>
      <c r="D618" s="145"/>
      <c r="E618" s="145"/>
      <c r="F618" s="145"/>
      <c r="G618" s="145"/>
      <c r="H618" s="145"/>
      <c r="I618" s="145"/>
      <c r="J618" s="145"/>
      <c r="K618" s="145"/>
      <c r="L618" s="145"/>
      <c r="M618" s="145"/>
      <c r="N618" s="145"/>
      <c r="O618" s="145"/>
      <c r="P618" s="145"/>
      <c r="Q618" s="145"/>
      <c r="R618" s="145"/>
      <c r="S618" s="145"/>
      <c r="T618" s="145"/>
      <c r="U618" s="145"/>
      <c r="V618" s="145"/>
      <c r="W618" s="145"/>
      <c r="X618" s="145"/>
      <c r="Y618" s="145"/>
      <c r="Z618" s="145"/>
    </row>
    <row r="619" spans="1:26" ht="15.75" x14ac:dyDescent="0.25">
      <c r="A619" s="145"/>
      <c r="B619" s="145"/>
      <c r="C619" s="145"/>
      <c r="D619" s="145"/>
      <c r="E619" s="145"/>
      <c r="F619" s="145"/>
      <c r="G619" s="145"/>
      <c r="H619" s="145"/>
      <c r="I619" s="145"/>
      <c r="J619" s="145"/>
      <c r="K619" s="145"/>
      <c r="L619" s="145"/>
      <c r="M619" s="145"/>
      <c r="N619" s="145"/>
      <c r="O619" s="145"/>
      <c r="P619" s="145"/>
      <c r="Q619" s="145"/>
      <c r="R619" s="145"/>
      <c r="S619" s="145"/>
      <c r="T619" s="145"/>
      <c r="U619" s="145"/>
      <c r="V619" s="145"/>
      <c r="W619" s="145"/>
      <c r="X619" s="145"/>
      <c r="Y619" s="145"/>
      <c r="Z619" s="145"/>
    </row>
    <row r="620" spans="1:26" ht="15.75" x14ac:dyDescent="0.25">
      <c r="A620" s="145"/>
      <c r="B620" s="145"/>
      <c r="C620" s="145"/>
      <c r="D620" s="145"/>
      <c r="E620" s="145"/>
      <c r="F620" s="145"/>
      <c r="G620" s="145"/>
      <c r="H620" s="145"/>
      <c r="I620" s="145"/>
      <c r="J620" s="145"/>
      <c r="K620" s="145"/>
      <c r="L620" s="145"/>
      <c r="M620" s="145"/>
      <c r="N620" s="145"/>
      <c r="O620" s="145"/>
      <c r="P620" s="145"/>
      <c r="Q620" s="145"/>
      <c r="R620" s="145"/>
      <c r="S620" s="145"/>
      <c r="T620" s="145"/>
      <c r="U620" s="145"/>
      <c r="V620" s="145"/>
      <c r="W620" s="145"/>
      <c r="X620" s="145"/>
      <c r="Y620" s="145"/>
      <c r="Z620" s="145"/>
    </row>
    <row r="621" spans="1:26" ht="15.75" x14ac:dyDescent="0.25">
      <c r="A621" s="145"/>
      <c r="B621" s="145"/>
      <c r="C621" s="145"/>
      <c r="D621" s="145"/>
      <c r="E621" s="145"/>
      <c r="F621" s="145"/>
      <c r="G621" s="145"/>
      <c r="H621" s="145"/>
      <c r="I621" s="145"/>
      <c r="J621" s="145"/>
      <c r="K621" s="145"/>
      <c r="L621" s="145"/>
      <c r="M621" s="145"/>
      <c r="N621" s="145"/>
      <c r="O621" s="145"/>
      <c r="P621" s="145"/>
      <c r="Q621" s="145"/>
      <c r="R621" s="145"/>
      <c r="S621" s="145"/>
      <c r="T621" s="145"/>
      <c r="U621" s="145"/>
      <c r="V621" s="145"/>
      <c r="W621" s="145"/>
      <c r="X621" s="145"/>
      <c r="Y621" s="145"/>
      <c r="Z621" s="145"/>
    </row>
    <row r="622" spans="1:26" ht="15.75" x14ac:dyDescent="0.25">
      <c r="A622" s="145"/>
      <c r="B622" s="145"/>
      <c r="C622" s="145"/>
      <c r="D622" s="145"/>
      <c r="E622" s="145"/>
      <c r="F622" s="145"/>
      <c r="G622" s="145"/>
      <c r="H622" s="145"/>
      <c r="I622" s="145"/>
      <c r="J622" s="145"/>
      <c r="K622" s="145"/>
      <c r="L622" s="145"/>
      <c r="M622" s="145"/>
      <c r="N622" s="145"/>
      <c r="O622" s="145"/>
      <c r="P622" s="145"/>
      <c r="Q622" s="145"/>
      <c r="R622" s="145"/>
      <c r="S622" s="145"/>
      <c r="T622" s="145"/>
      <c r="U622" s="145"/>
      <c r="V622" s="145"/>
      <c r="W622" s="145"/>
      <c r="X622" s="145"/>
      <c r="Y622" s="145"/>
      <c r="Z622" s="145"/>
    </row>
    <row r="623" spans="1:26" ht="15.75" x14ac:dyDescent="0.25">
      <c r="A623" s="145"/>
      <c r="B623" s="145"/>
      <c r="C623" s="145"/>
      <c r="D623" s="145"/>
      <c r="E623" s="145"/>
      <c r="F623" s="145"/>
      <c r="G623" s="145"/>
      <c r="H623" s="145"/>
      <c r="I623" s="145"/>
      <c r="J623" s="145"/>
      <c r="K623" s="145"/>
      <c r="L623" s="145"/>
      <c r="M623" s="145"/>
      <c r="N623" s="145"/>
      <c r="O623" s="145"/>
      <c r="P623" s="145"/>
      <c r="Q623" s="145"/>
      <c r="R623" s="145"/>
      <c r="S623" s="145"/>
      <c r="T623" s="145"/>
      <c r="U623" s="145"/>
      <c r="V623" s="145"/>
      <c r="W623" s="145"/>
      <c r="X623" s="145"/>
      <c r="Y623" s="145"/>
      <c r="Z623" s="145"/>
    </row>
    <row r="624" spans="1:26" ht="15.75" x14ac:dyDescent="0.25">
      <c r="A624" s="145"/>
      <c r="B624" s="145"/>
      <c r="C624" s="145"/>
      <c r="D624" s="145"/>
      <c r="E624" s="145"/>
      <c r="F624" s="145"/>
      <c r="G624" s="145"/>
      <c r="H624" s="145"/>
      <c r="I624" s="145"/>
      <c r="J624" s="145"/>
      <c r="K624" s="145"/>
      <c r="L624" s="145"/>
      <c r="M624" s="145"/>
      <c r="N624" s="145"/>
      <c r="O624" s="145"/>
      <c r="P624" s="145"/>
      <c r="Q624" s="145"/>
      <c r="R624" s="145"/>
      <c r="S624" s="145"/>
      <c r="T624" s="145"/>
      <c r="U624" s="145"/>
      <c r="V624" s="145"/>
      <c r="W624" s="145"/>
      <c r="X624" s="145"/>
      <c r="Y624" s="145"/>
      <c r="Z624" s="145"/>
    </row>
    <row r="625" spans="1:26" ht="15.75" x14ac:dyDescent="0.25">
      <c r="A625" s="145"/>
      <c r="B625" s="145"/>
      <c r="C625" s="145"/>
      <c r="D625" s="145"/>
      <c r="E625" s="145"/>
      <c r="F625" s="145"/>
      <c r="G625" s="145"/>
      <c r="H625" s="145"/>
      <c r="I625" s="145"/>
      <c r="J625" s="145"/>
      <c r="K625" s="145"/>
      <c r="L625" s="145"/>
      <c r="M625" s="145"/>
      <c r="N625" s="145"/>
      <c r="O625" s="145"/>
      <c r="P625" s="145"/>
      <c r="Q625" s="145"/>
      <c r="R625" s="145"/>
      <c r="S625" s="145"/>
      <c r="T625" s="145"/>
      <c r="U625" s="145"/>
      <c r="V625" s="145"/>
      <c r="W625" s="145"/>
      <c r="X625" s="145"/>
      <c r="Y625" s="145"/>
      <c r="Z625" s="145"/>
    </row>
    <row r="626" spans="1:26" ht="15.75" x14ac:dyDescent="0.25">
      <c r="A626" s="145"/>
      <c r="B626" s="145"/>
      <c r="C626" s="145"/>
      <c r="D626" s="145"/>
      <c r="E626" s="145"/>
      <c r="F626" s="145"/>
      <c r="G626" s="145"/>
      <c r="H626" s="145"/>
      <c r="I626" s="145"/>
      <c r="J626" s="145"/>
      <c r="K626" s="145"/>
      <c r="L626" s="145"/>
      <c r="M626" s="145"/>
      <c r="N626" s="145"/>
      <c r="O626" s="145"/>
      <c r="P626" s="145"/>
      <c r="Q626" s="145"/>
      <c r="R626" s="145"/>
      <c r="S626" s="145"/>
      <c r="T626" s="145"/>
      <c r="U626" s="145"/>
      <c r="V626" s="145"/>
      <c r="W626" s="145"/>
      <c r="X626" s="145"/>
      <c r="Y626" s="145"/>
      <c r="Z626" s="145"/>
    </row>
    <row r="627" spans="1:26" ht="15.75" x14ac:dyDescent="0.25">
      <c r="A627" s="145"/>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row>
    <row r="628" spans="1:26" ht="15.75" x14ac:dyDescent="0.25">
      <c r="A628" s="145"/>
      <c r="B628" s="145"/>
      <c r="C628" s="145"/>
      <c r="D628" s="145"/>
      <c r="E628" s="145"/>
      <c r="F628" s="145"/>
      <c r="G628" s="145"/>
      <c r="H628" s="145"/>
      <c r="I628" s="145"/>
      <c r="J628" s="145"/>
      <c r="K628" s="145"/>
      <c r="L628" s="145"/>
      <c r="M628" s="145"/>
      <c r="N628" s="145"/>
      <c r="O628" s="145"/>
      <c r="P628" s="145"/>
      <c r="Q628" s="145"/>
      <c r="R628" s="145"/>
      <c r="S628" s="145"/>
      <c r="T628" s="145"/>
      <c r="U628" s="145"/>
      <c r="V628" s="145"/>
      <c r="W628" s="145"/>
      <c r="X628" s="145"/>
      <c r="Y628" s="145"/>
      <c r="Z628" s="145"/>
    </row>
    <row r="629" spans="1:26" ht="15.75" x14ac:dyDescent="0.25">
      <c r="A629" s="145"/>
      <c r="B629" s="145"/>
      <c r="C629" s="145"/>
      <c r="D629" s="145"/>
      <c r="E629" s="145"/>
      <c r="F629" s="145"/>
      <c r="G629" s="145"/>
      <c r="H629" s="145"/>
      <c r="I629" s="145"/>
      <c r="J629" s="145"/>
      <c r="K629" s="145"/>
      <c r="L629" s="145"/>
      <c r="M629" s="145"/>
      <c r="N629" s="145"/>
      <c r="O629" s="145"/>
      <c r="P629" s="145"/>
      <c r="Q629" s="145"/>
      <c r="R629" s="145"/>
      <c r="S629" s="145"/>
      <c r="T629" s="145"/>
      <c r="U629" s="145"/>
      <c r="V629" s="145"/>
      <c r="W629" s="145"/>
      <c r="X629" s="145"/>
      <c r="Y629" s="145"/>
      <c r="Z629" s="145"/>
    </row>
    <row r="630" spans="1:26" ht="15.75" x14ac:dyDescent="0.25">
      <c r="A630" s="145"/>
      <c r="B630" s="145"/>
      <c r="C630" s="145"/>
      <c r="D630" s="145"/>
      <c r="E630" s="145"/>
      <c r="F630" s="145"/>
      <c r="G630" s="145"/>
      <c r="H630" s="145"/>
      <c r="I630" s="145"/>
      <c r="J630" s="145"/>
      <c r="K630" s="145"/>
      <c r="L630" s="145"/>
      <c r="M630" s="145"/>
      <c r="N630" s="145"/>
      <c r="O630" s="145"/>
      <c r="P630" s="145"/>
      <c r="Q630" s="145"/>
      <c r="R630" s="145"/>
      <c r="S630" s="145"/>
      <c r="T630" s="145"/>
      <c r="U630" s="145"/>
      <c r="V630" s="145"/>
      <c r="W630" s="145"/>
      <c r="X630" s="145"/>
      <c r="Y630" s="145"/>
      <c r="Z630" s="145"/>
    </row>
    <row r="631" spans="1:26" ht="15.75" x14ac:dyDescent="0.25">
      <c r="A631" s="145"/>
      <c r="B631" s="145"/>
      <c r="C631" s="145"/>
      <c r="D631" s="145"/>
      <c r="E631" s="145"/>
      <c r="F631" s="145"/>
      <c r="G631" s="145"/>
      <c r="H631" s="145"/>
      <c r="I631" s="145"/>
      <c r="J631" s="145"/>
      <c r="K631" s="145"/>
      <c r="L631" s="145"/>
      <c r="M631" s="145"/>
      <c r="N631" s="145"/>
      <c r="O631" s="145"/>
      <c r="P631" s="145"/>
      <c r="Q631" s="145"/>
      <c r="R631" s="145"/>
      <c r="S631" s="145"/>
      <c r="T631" s="145"/>
      <c r="U631" s="145"/>
      <c r="V631" s="145"/>
      <c r="W631" s="145"/>
      <c r="X631" s="145"/>
      <c r="Y631" s="145"/>
      <c r="Z631" s="145"/>
    </row>
    <row r="632" spans="1:26" ht="15.75" x14ac:dyDescent="0.25">
      <c r="A632" s="145"/>
      <c r="B632" s="145"/>
      <c r="C632" s="145"/>
      <c r="D632" s="145"/>
      <c r="E632" s="145"/>
      <c r="F632" s="145"/>
      <c r="G632" s="145"/>
      <c r="H632" s="145"/>
      <c r="I632" s="145"/>
      <c r="J632" s="145"/>
      <c r="K632" s="145"/>
      <c r="L632" s="145"/>
      <c r="M632" s="145"/>
      <c r="N632" s="145"/>
      <c r="O632" s="145"/>
      <c r="P632" s="145"/>
      <c r="Q632" s="145"/>
      <c r="R632" s="145"/>
      <c r="S632" s="145"/>
      <c r="T632" s="145"/>
      <c r="U632" s="145"/>
      <c r="V632" s="145"/>
      <c r="W632" s="145"/>
      <c r="X632" s="145"/>
      <c r="Y632" s="145"/>
      <c r="Z632" s="145"/>
    </row>
    <row r="633" spans="1:26" ht="15.75" x14ac:dyDescent="0.25">
      <c r="A633" s="145"/>
      <c r="B633" s="145"/>
      <c r="C633" s="145"/>
      <c r="D633" s="145"/>
      <c r="E633" s="145"/>
      <c r="F633" s="145"/>
      <c r="G633" s="145"/>
      <c r="H633" s="145"/>
      <c r="I633" s="145"/>
      <c r="J633" s="145"/>
      <c r="K633" s="145"/>
      <c r="L633" s="145"/>
      <c r="M633" s="145"/>
      <c r="N633" s="145"/>
      <c r="O633" s="145"/>
      <c r="P633" s="145"/>
      <c r="Q633" s="145"/>
      <c r="R633" s="145"/>
      <c r="S633" s="145"/>
      <c r="T633" s="145"/>
      <c r="U633" s="145"/>
      <c r="V633" s="145"/>
      <c r="W633" s="145"/>
      <c r="X633" s="145"/>
      <c r="Y633" s="145"/>
      <c r="Z633" s="145"/>
    </row>
    <row r="634" spans="1:26" ht="15.75" x14ac:dyDescent="0.25">
      <c r="A634" s="145"/>
      <c r="B634" s="145"/>
      <c r="C634" s="145"/>
      <c r="D634" s="145"/>
      <c r="E634" s="145"/>
      <c r="F634" s="145"/>
      <c r="G634" s="145"/>
      <c r="H634" s="145"/>
      <c r="I634" s="145"/>
      <c r="J634" s="145"/>
      <c r="K634" s="145"/>
      <c r="L634" s="145"/>
      <c r="M634" s="145"/>
      <c r="N634" s="145"/>
      <c r="O634" s="145"/>
      <c r="P634" s="145"/>
      <c r="Q634" s="145"/>
      <c r="R634" s="145"/>
      <c r="S634" s="145"/>
      <c r="T634" s="145"/>
      <c r="U634" s="145"/>
      <c r="V634" s="145"/>
      <c r="W634" s="145"/>
      <c r="X634" s="145"/>
      <c r="Y634" s="145"/>
      <c r="Z634" s="145"/>
    </row>
    <row r="635" spans="1:26" ht="15.75" x14ac:dyDescent="0.25">
      <c r="A635" s="145"/>
      <c r="B635" s="145"/>
      <c r="C635" s="145"/>
      <c r="D635" s="145"/>
      <c r="E635" s="145"/>
      <c r="F635" s="145"/>
      <c r="G635" s="145"/>
      <c r="H635" s="145"/>
      <c r="I635" s="145"/>
      <c r="J635" s="145"/>
      <c r="K635" s="145"/>
      <c r="L635" s="145"/>
      <c r="M635" s="145"/>
      <c r="N635" s="145"/>
      <c r="O635" s="145"/>
      <c r="P635" s="145"/>
      <c r="Q635" s="145"/>
      <c r="R635" s="145"/>
      <c r="S635" s="145"/>
      <c r="T635" s="145"/>
      <c r="U635" s="145"/>
      <c r="V635" s="145"/>
      <c r="W635" s="145"/>
      <c r="X635" s="145"/>
      <c r="Y635" s="145"/>
      <c r="Z635" s="145"/>
    </row>
    <row r="636" spans="1:26" ht="15.75" x14ac:dyDescent="0.25">
      <c r="A636" s="145"/>
      <c r="B636" s="145"/>
      <c r="C636" s="145"/>
      <c r="D636" s="145"/>
      <c r="E636" s="145"/>
      <c r="F636" s="145"/>
      <c r="G636" s="145"/>
      <c r="H636" s="145"/>
      <c r="I636" s="145"/>
      <c r="J636" s="145"/>
      <c r="K636" s="145"/>
      <c r="L636" s="145"/>
      <c r="M636" s="145"/>
      <c r="N636" s="145"/>
      <c r="O636" s="145"/>
      <c r="P636" s="145"/>
      <c r="Q636" s="145"/>
      <c r="R636" s="145"/>
      <c r="S636" s="145"/>
      <c r="T636" s="145"/>
      <c r="U636" s="145"/>
      <c r="V636" s="145"/>
      <c r="W636" s="145"/>
      <c r="X636" s="145"/>
      <c r="Y636" s="145"/>
      <c r="Z636" s="145"/>
    </row>
    <row r="637" spans="1:26" ht="15.75" x14ac:dyDescent="0.25">
      <c r="A637" s="145"/>
      <c r="B637" s="145"/>
      <c r="C637" s="145"/>
      <c r="D637" s="145"/>
      <c r="E637" s="145"/>
      <c r="F637" s="145"/>
      <c r="G637" s="145"/>
      <c r="H637" s="145"/>
      <c r="I637" s="145"/>
      <c r="J637" s="145"/>
      <c r="K637" s="145"/>
      <c r="L637" s="145"/>
      <c r="M637" s="145"/>
      <c r="N637" s="145"/>
      <c r="O637" s="145"/>
      <c r="P637" s="145"/>
      <c r="Q637" s="145"/>
      <c r="R637" s="145"/>
      <c r="S637" s="145"/>
      <c r="T637" s="145"/>
      <c r="U637" s="145"/>
      <c r="V637" s="145"/>
      <c r="W637" s="145"/>
      <c r="X637" s="145"/>
      <c r="Y637" s="145"/>
      <c r="Z637" s="145"/>
    </row>
    <row r="638" spans="1:26" ht="15.75" x14ac:dyDescent="0.25">
      <c r="A638" s="145"/>
      <c r="B638" s="145"/>
      <c r="C638" s="145"/>
      <c r="D638" s="145"/>
      <c r="E638" s="145"/>
      <c r="F638" s="145"/>
      <c r="G638" s="145"/>
      <c r="H638" s="145"/>
      <c r="I638" s="145"/>
      <c r="J638" s="145"/>
      <c r="K638" s="145"/>
      <c r="L638" s="145"/>
      <c r="M638" s="145"/>
      <c r="N638" s="145"/>
      <c r="O638" s="145"/>
      <c r="P638" s="145"/>
      <c r="Q638" s="145"/>
      <c r="R638" s="145"/>
      <c r="S638" s="145"/>
      <c r="T638" s="145"/>
      <c r="U638" s="145"/>
      <c r="V638" s="145"/>
      <c r="W638" s="145"/>
      <c r="X638" s="145"/>
      <c r="Y638" s="145"/>
      <c r="Z638" s="145"/>
    </row>
    <row r="639" spans="1:26" ht="15.75" x14ac:dyDescent="0.25">
      <c r="A639" s="145"/>
      <c r="B639" s="145"/>
      <c r="C639" s="145"/>
      <c r="D639" s="145"/>
      <c r="E639" s="145"/>
      <c r="F639" s="145"/>
      <c r="G639" s="145"/>
      <c r="H639" s="145"/>
      <c r="I639" s="145"/>
      <c r="J639" s="145"/>
      <c r="K639" s="145"/>
      <c r="L639" s="145"/>
      <c r="M639" s="145"/>
      <c r="N639" s="145"/>
      <c r="O639" s="145"/>
      <c r="P639" s="145"/>
      <c r="Q639" s="145"/>
      <c r="R639" s="145"/>
      <c r="S639" s="145"/>
      <c r="T639" s="145"/>
      <c r="U639" s="145"/>
      <c r="V639" s="145"/>
      <c r="W639" s="145"/>
      <c r="X639" s="145"/>
      <c r="Y639" s="145"/>
      <c r="Z639" s="145"/>
    </row>
    <row r="640" spans="1:26" ht="15.75" x14ac:dyDescent="0.25">
      <c r="A640" s="145"/>
      <c r="B640" s="145"/>
      <c r="C640" s="145"/>
      <c r="D640" s="145"/>
      <c r="E640" s="145"/>
      <c r="F640" s="145"/>
      <c r="G640" s="145"/>
      <c r="H640" s="145"/>
      <c r="I640" s="145"/>
      <c r="J640" s="145"/>
      <c r="K640" s="145"/>
      <c r="L640" s="145"/>
      <c r="M640" s="145"/>
      <c r="N640" s="145"/>
      <c r="O640" s="145"/>
      <c r="P640" s="145"/>
      <c r="Q640" s="145"/>
      <c r="R640" s="145"/>
      <c r="S640" s="145"/>
      <c r="T640" s="145"/>
      <c r="U640" s="145"/>
      <c r="V640" s="145"/>
      <c r="W640" s="145"/>
      <c r="X640" s="145"/>
      <c r="Y640" s="145"/>
      <c r="Z640" s="145"/>
    </row>
    <row r="641" spans="1:26" ht="15.75" x14ac:dyDescent="0.25">
      <c r="A641" s="145"/>
      <c r="B641" s="145"/>
      <c r="C641" s="145"/>
      <c r="D641" s="145"/>
      <c r="E641" s="145"/>
      <c r="F641" s="145"/>
      <c r="G641" s="145"/>
      <c r="H641" s="145"/>
      <c r="I641" s="145"/>
      <c r="J641" s="145"/>
      <c r="K641" s="145"/>
      <c r="L641" s="145"/>
      <c r="M641" s="145"/>
      <c r="N641" s="145"/>
      <c r="O641" s="145"/>
      <c r="P641" s="145"/>
      <c r="Q641" s="145"/>
      <c r="R641" s="145"/>
      <c r="S641" s="145"/>
      <c r="T641" s="145"/>
      <c r="U641" s="145"/>
      <c r="V641" s="145"/>
      <c r="W641" s="145"/>
      <c r="X641" s="145"/>
      <c r="Y641" s="145"/>
      <c r="Z641" s="145"/>
    </row>
    <row r="642" spans="1:26" ht="15.75" x14ac:dyDescent="0.25">
      <c r="A642" s="145"/>
      <c r="B642" s="145"/>
      <c r="C642" s="145"/>
      <c r="D642" s="145"/>
      <c r="E642" s="145"/>
      <c r="F642" s="145"/>
      <c r="G642" s="145"/>
      <c r="H642" s="145"/>
      <c r="I642" s="145"/>
      <c r="J642" s="145"/>
      <c r="K642" s="145"/>
      <c r="L642" s="145"/>
      <c r="M642" s="145"/>
      <c r="N642" s="145"/>
      <c r="O642" s="145"/>
      <c r="P642" s="145"/>
      <c r="Q642" s="145"/>
      <c r="R642" s="145"/>
      <c r="S642" s="145"/>
      <c r="T642" s="145"/>
      <c r="U642" s="145"/>
      <c r="V642" s="145"/>
      <c r="W642" s="145"/>
      <c r="X642" s="145"/>
      <c r="Y642" s="145"/>
      <c r="Z642" s="145"/>
    </row>
    <row r="643" spans="1:26" ht="15.75" x14ac:dyDescent="0.25">
      <c r="A643" s="145"/>
      <c r="B643" s="145"/>
      <c r="C643" s="145"/>
      <c r="D643" s="145"/>
      <c r="E643" s="145"/>
      <c r="F643" s="145"/>
      <c r="G643" s="145"/>
      <c r="H643" s="145"/>
      <c r="I643" s="145"/>
      <c r="J643" s="145"/>
      <c r="K643" s="145"/>
      <c r="L643" s="145"/>
      <c r="M643" s="145"/>
      <c r="N643" s="145"/>
      <c r="O643" s="145"/>
      <c r="P643" s="145"/>
      <c r="Q643" s="145"/>
      <c r="R643" s="145"/>
      <c r="S643" s="145"/>
      <c r="T643" s="145"/>
      <c r="U643" s="145"/>
      <c r="V643" s="145"/>
      <c r="W643" s="145"/>
      <c r="X643" s="145"/>
      <c r="Y643" s="145"/>
      <c r="Z643" s="145"/>
    </row>
    <row r="644" spans="1:26" ht="15.75" x14ac:dyDescent="0.25">
      <c r="A644" s="145"/>
      <c r="B644" s="145"/>
      <c r="C644" s="145"/>
      <c r="D644" s="145"/>
      <c r="E644" s="145"/>
      <c r="F644" s="145"/>
      <c r="G644" s="145"/>
      <c r="H644" s="145"/>
      <c r="I644" s="145"/>
      <c r="J644" s="145"/>
      <c r="K644" s="145"/>
      <c r="L644" s="145"/>
      <c r="M644" s="145"/>
      <c r="N644" s="145"/>
      <c r="O644" s="145"/>
      <c r="P644" s="145"/>
      <c r="Q644" s="145"/>
      <c r="R644" s="145"/>
      <c r="S644" s="145"/>
      <c r="T644" s="145"/>
      <c r="U644" s="145"/>
      <c r="V644" s="145"/>
      <c r="W644" s="145"/>
      <c r="X644" s="145"/>
      <c r="Y644" s="145"/>
      <c r="Z644" s="145"/>
    </row>
    <row r="645" spans="1:26" ht="15.75" x14ac:dyDescent="0.25">
      <c r="A645" s="145"/>
      <c r="B645" s="145"/>
      <c r="C645" s="145"/>
      <c r="D645" s="145"/>
      <c r="E645" s="145"/>
      <c r="F645" s="145"/>
      <c r="G645" s="145"/>
      <c r="H645" s="145"/>
      <c r="I645" s="145"/>
      <c r="J645" s="145"/>
      <c r="K645" s="145"/>
      <c r="L645" s="145"/>
      <c r="M645" s="145"/>
      <c r="N645" s="145"/>
      <c r="O645" s="145"/>
      <c r="P645" s="145"/>
      <c r="Q645" s="145"/>
      <c r="R645" s="145"/>
      <c r="S645" s="145"/>
      <c r="T645" s="145"/>
      <c r="U645" s="145"/>
      <c r="V645" s="145"/>
      <c r="W645" s="145"/>
      <c r="X645" s="145"/>
      <c r="Y645" s="145"/>
      <c r="Z645" s="145"/>
    </row>
    <row r="646" spans="1:26" ht="15.75" x14ac:dyDescent="0.25">
      <c r="A646" s="145"/>
      <c r="B646" s="145"/>
      <c r="C646" s="145"/>
      <c r="D646" s="145"/>
      <c r="E646" s="145"/>
      <c r="F646" s="145"/>
      <c r="G646" s="145"/>
      <c r="H646" s="145"/>
      <c r="I646" s="145"/>
      <c r="J646" s="145"/>
      <c r="K646" s="145"/>
      <c r="L646" s="145"/>
      <c r="M646" s="145"/>
      <c r="N646" s="145"/>
      <c r="O646" s="145"/>
      <c r="P646" s="145"/>
      <c r="Q646" s="145"/>
      <c r="R646" s="145"/>
      <c r="S646" s="145"/>
      <c r="T646" s="145"/>
      <c r="U646" s="145"/>
      <c r="V646" s="145"/>
      <c r="W646" s="145"/>
      <c r="X646" s="145"/>
      <c r="Y646" s="145"/>
      <c r="Z646" s="145"/>
    </row>
    <row r="647" spans="1:26" ht="15.75" x14ac:dyDescent="0.25">
      <c r="A647" s="145"/>
      <c r="B647" s="145"/>
      <c r="C647" s="145"/>
      <c r="D647" s="145"/>
      <c r="E647" s="145"/>
      <c r="F647" s="145"/>
      <c r="G647" s="145"/>
      <c r="H647" s="145"/>
      <c r="I647" s="145"/>
      <c r="J647" s="145"/>
      <c r="K647" s="145"/>
      <c r="L647" s="145"/>
      <c r="M647" s="145"/>
      <c r="N647" s="145"/>
      <c r="O647" s="145"/>
      <c r="P647" s="145"/>
      <c r="Q647" s="145"/>
      <c r="R647" s="145"/>
      <c r="S647" s="145"/>
      <c r="T647" s="145"/>
      <c r="U647" s="145"/>
      <c r="V647" s="145"/>
      <c r="W647" s="145"/>
      <c r="X647" s="145"/>
      <c r="Y647" s="145"/>
      <c r="Z647" s="145"/>
    </row>
    <row r="648" spans="1:26" ht="15.75" x14ac:dyDescent="0.25">
      <c r="A648" s="145"/>
      <c r="B648" s="145"/>
      <c r="C648" s="145"/>
      <c r="D648" s="145"/>
      <c r="E648" s="145"/>
      <c r="F648" s="145"/>
      <c r="G648" s="145"/>
      <c r="H648" s="145"/>
      <c r="I648" s="145"/>
      <c r="J648" s="145"/>
      <c r="K648" s="145"/>
      <c r="L648" s="145"/>
      <c r="M648" s="145"/>
      <c r="N648" s="145"/>
      <c r="O648" s="145"/>
      <c r="P648" s="145"/>
      <c r="Q648" s="145"/>
      <c r="R648" s="145"/>
      <c r="S648" s="145"/>
      <c r="T648" s="145"/>
      <c r="U648" s="145"/>
      <c r="V648" s="145"/>
      <c r="W648" s="145"/>
      <c r="X648" s="145"/>
      <c r="Y648" s="145"/>
      <c r="Z648" s="145"/>
    </row>
    <row r="649" spans="1:26" ht="15.75" x14ac:dyDescent="0.25">
      <c r="A649" s="145"/>
      <c r="B649" s="145"/>
      <c r="C649" s="145"/>
      <c r="D649" s="145"/>
      <c r="E649" s="145"/>
      <c r="F649" s="145"/>
      <c r="G649" s="145"/>
      <c r="H649" s="145"/>
      <c r="I649" s="145"/>
      <c r="J649" s="145"/>
      <c r="K649" s="145"/>
      <c r="L649" s="145"/>
      <c r="M649" s="145"/>
      <c r="N649" s="145"/>
      <c r="O649" s="145"/>
      <c r="P649" s="145"/>
      <c r="Q649" s="145"/>
      <c r="R649" s="145"/>
      <c r="S649" s="145"/>
      <c r="T649" s="145"/>
      <c r="U649" s="145"/>
      <c r="V649" s="145"/>
      <c r="W649" s="145"/>
      <c r="X649" s="145"/>
      <c r="Y649" s="145"/>
      <c r="Z649" s="145"/>
    </row>
    <row r="650" spans="1:26" ht="15.75" x14ac:dyDescent="0.25">
      <c r="A650" s="145"/>
      <c r="B650" s="145"/>
      <c r="C650" s="145"/>
      <c r="D650" s="145"/>
      <c r="E650" s="145"/>
      <c r="F650" s="145"/>
      <c r="G650" s="145"/>
      <c r="H650" s="145"/>
      <c r="I650" s="145"/>
      <c r="J650" s="145"/>
      <c r="K650" s="145"/>
      <c r="L650" s="145"/>
      <c r="M650" s="145"/>
      <c r="N650" s="145"/>
      <c r="O650" s="145"/>
      <c r="P650" s="145"/>
      <c r="Q650" s="145"/>
      <c r="R650" s="145"/>
      <c r="S650" s="145"/>
      <c r="T650" s="145"/>
      <c r="U650" s="145"/>
      <c r="V650" s="145"/>
      <c r="W650" s="145"/>
      <c r="X650" s="145"/>
      <c r="Y650" s="145"/>
      <c r="Z650" s="145"/>
    </row>
    <row r="651" spans="1:26" ht="15.75" x14ac:dyDescent="0.25">
      <c r="A651" s="145"/>
      <c r="B651" s="145"/>
      <c r="C651" s="145"/>
      <c r="D651" s="145"/>
      <c r="E651" s="145"/>
      <c r="F651" s="145"/>
      <c r="G651" s="145"/>
      <c r="H651" s="145"/>
      <c r="I651" s="145"/>
      <c r="J651" s="145"/>
      <c r="K651" s="145"/>
      <c r="L651" s="145"/>
      <c r="M651" s="145"/>
      <c r="N651" s="145"/>
      <c r="O651" s="145"/>
      <c r="P651" s="145"/>
      <c r="Q651" s="145"/>
      <c r="R651" s="145"/>
      <c r="S651" s="145"/>
      <c r="T651" s="145"/>
      <c r="U651" s="145"/>
      <c r="V651" s="145"/>
      <c r="W651" s="145"/>
      <c r="X651" s="145"/>
      <c r="Y651" s="145"/>
      <c r="Z651" s="145"/>
    </row>
    <row r="652" spans="1:26" ht="15.75" x14ac:dyDescent="0.25">
      <c r="A652" s="145"/>
      <c r="B652" s="145"/>
      <c r="C652" s="145"/>
      <c r="D652" s="145"/>
      <c r="E652" s="145"/>
      <c r="F652" s="145"/>
      <c r="G652" s="145"/>
      <c r="H652" s="145"/>
      <c r="I652" s="145"/>
      <c r="J652" s="145"/>
      <c r="K652" s="145"/>
      <c r="L652" s="145"/>
      <c r="M652" s="145"/>
      <c r="N652" s="145"/>
      <c r="O652" s="145"/>
      <c r="P652" s="145"/>
      <c r="Q652" s="145"/>
      <c r="R652" s="145"/>
      <c r="S652" s="145"/>
      <c r="T652" s="145"/>
      <c r="U652" s="145"/>
      <c r="V652" s="145"/>
      <c r="W652" s="145"/>
      <c r="X652" s="145"/>
      <c r="Y652" s="145"/>
      <c r="Z652" s="145"/>
    </row>
    <row r="653" spans="1:26" ht="15.75" x14ac:dyDescent="0.25">
      <c r="A653" s="145"/>
      <c r="B653" s="145"/>
      <c r="C653" s="145"/>
      <c r="D653" s="145"/>
      <c r="E653" s="145"/>
      <c r="F653" s="145"/>
      <c r="G653" s="145"/>
      <c r="H653" s="145"/>
      <c r="I653" s="145"/>
      <c r="J653" s="145"/>
      <c r="K653" s="145"/>
      <c r="L653" s="145"/>
      <c r="M653" s="145"/>
      <c r="N653" s="145"/>
      <c r="O653" s="145"/>
      <c r="P653" s="145"/>
      <c r="Q653" s="145"/>
      <c r="R653" s="145"/>
      <c r="S653" s="145"/>
      <c r="T653" s="145"/>
      <c r="U653" s="145"/>
      <c r="V653" s="145"/>
      <c r="W653" s="145"/>
      <c r="X653" s="145"/>
      <c r="Y653" s="145"/>
      <c r="Z653" s="145"/>
    </row>
    <row r="654" spans="1:26" ht="15.75" x14ac:dyDescent="0.25">
      <c r="A654" s="145"/>
      <c r="B654" s="145"/>
      <c r="C654" s="145"/>
      <c r="D654" s="145"/>
      <c r="E654" s="145"/>
      <c r="F654" s="145"/>
      <c r="G654" s="145"/>
      <c r="H654" s="145"/>
      <c r="I654" s="145"/>
      <c r="J654" s="145"/>
      <c r="K654" s="145"/>
      <c r="L654" s="145"/>
      <c r="M654" s="145"/>
      <c r="N654" s="145"/>
      <c r="O654" s="145"/>
      <c r="P654" s="145"/>
      <c r="Q654" s="145"/>
      <c r="R654" s="145"/>
      <c r="S654" s="145"/>
      <c r="T654" s="145"/>
      <c r="U654" s="145"/>
      <c r="V654" s="145"/>
      <c r="W654" s="145"/>
      <c r="X654" s="145"/>
      <c r="Y654" s="145"/>
      <c r="Z654" s="145"/>
    </row>
    <row r="655" spans="1:26" ht="15.75" x14ac:dyDescent="0.25">
      <c r="A655" s="145"/>
      <c r="B655" s="145"/>
      <c r="C655" s="145"/>
      <c r="D655" s="145"/>
      <c r="E655" s="145"/>
      <c r="F655" s="145"/>
      <c r="G655" s="145"/>
      <c r="H655" s="145"/>
      <c r="I655" s="145"/>
      <c r="J655" s="145"/>
      <c r="K655" s="145"/>
      <c r="L655" s="145"/>
      <c r="M655" s="145"/>
      <c r="N655" s="145"/>
      <c r="O655" s="145"/>
      <c r="P655" s="145"/>
      <c r="Q655" s="145"/>
      <c r="R655" s="145"/>
      <c r="S655" s="145"/>
      <c r="T655" s="145"/>
      <c r="U655" s="145"/>
      <c r="V655" s="145"/>
      <c r="W655" s="145"/>
      <c r="X655" s="145"/>
      <c r="Y655" s="145"/>
      <c r="Z655" s="145"/>
    </row>
    <row r="656" spans="1:26" ht="15.75" x14ac:dyDescent="0.25">
      <c r="A656" s="145"/>
      <c r="B656" s="145"/>
      <c r="C656" s="145"/>
      <c r="D656" s="145"/>
      <c r="E656" s="145"/>
      <c r="F656" s="145"/>
      <c r="G656" s="145"/>
      <c r="H656" s="145"/>
      <c r="I656" s="145"/>
      <c r="J656" s="145"/>
      <c r="K656" s="145"/>
      <c r="L656" s="145"/>
      <c r="M656" s="145"/>
      <c r="N656" s="145"/>
      <c r="O656" s="145"/>
      <c r="P656" s="145"/>
      <c r="Q656" s="145"/>
      <c r="R656" s="145"/>
      <c r="S656" s="145"/>
      <c r="T656" s="145"/>
      <c r="U656" s="145"/>
      <c r="V656" s="145"/>
      <c r="W656" s="145"/>
      <c r="X656" s="145"/>
      <c r="Y656" s="145"/>
      <c r="Z656" s="145"/>
    </row>
    <row r="657" spans="1:26" ht="15.75" x14ac:dyDescent="0.25">
      <c r="A657" s="145"/>
      <c r="B657" s="145"/>
      <c r="C657" s="145"/>
      <c r="D657" s="145"/>
      <c r="E657" s="145"/>
      <c r="F657" s="145"/>
      <c r="G657" s="145"/>
      <c r="H657" s="145"/>
      <c r="I657" s="145"/>
      <c r="J657" s="145"/>
      <c r="K657" s="145"/>
      <c r="L657" s="145"/>
      <c r="M657" s="145"/>
      <c r="N657" s="145"/>
      <c r="O657" s="145"/>
      <c r="P657" s="145"/>
      <c r="Q657" s="145"/>
      <c r="R657" s="145"/>
      <c r="S657" s="145"/>
      <c r="T657" s="145"/>
      <c r="U657" s="145"/>
      <c r="V657" s="145"/>
      <c r="W657" s="145"/>
      <c r="X657" s="145"/>
      <c r="Y657" s="145"/>
      <c r="Z657" s="145"/>
    </row>
    <row r="658" spans="1:26" ht="15.75" x14ac:dyDescent="0.25">
      <c r="A658" s="145"/>
      <c r="B658" s="145"/>
      <c r="C658" s="145"/>
      <c r="D658" s="145"/>
      <c r="E658" s="145"/>
      <c r="F658" s="145"/>
      <c r="G658" s="145"/>
      <c r="H658" s="145"/>
      <c r="I658" s="145"/>
      <c r="J658" s="145"/>
      <c r="K658" s="145"/>
      <c r="L658" s="145"/>
      <c r="M658" s="145"/>
      <c r="N658" s="145"/>
      <c r="O658" s="145"/>
      <c r="P658" s="145"/>
      <c r="Q658" s="145"/>
      <c r="R658" s="145"/>
      <c r="S658" s="145"/>
      <c r="T658" s="145"/>
      <c r="U658" s="145"/>
      <c r="V658" s="145"/>
      <c r="W658" s="145"/>
      <c r="X658" s="145"/>
      <c r="Y658" s="145"/>
      <c r="Z658" s="145"/>
    </row>
    <row r="659" spans="1:26" ht="15.75" x14ac:dyDescent="0.25">
      <c r="A659" s="145"/>
      <c r="B659" s="145"/>
      <c r="C659" s="145"/>
      <c r="D659" s="145"/>
      <c r="E659" s="145"/>
      <c r="F659" s="145"/>
      <c r="G659" s="145"/>
      <c r="H659" s="145"/>
      <c r="I659" s="145"/>
      <c r="J659" s="145"/>
      <c r="K659" s="145"/>
      <c r="L659" s="145"/>
      <c r="M659" s="145"/>
      <c r="N659" s="145"/>
      <c r="O659" s="145"/>
      <c r="P659" s="145"/>
      <c r="Q659" s="145"/>
      <c r="R659" s="145"/>
      <c r="S659" s="145"/>
      <c r="T659" s="145"/>
      <c r="U659" s="145"/>
      <c r="V659" s="145"/>
      <c r="W659" s="145"/>
      <c r="X659" s="145"/>
      <c r="Y659" s="145"/>
      <c r="Z659" s="145"/>
    </row>
    <row r="660" spans="1:26" ht="15.75" x14ac:dyDescent="0.25">
      <c r="A660" s="145"/>
      <c r="B660" s="145"/>
      <c r="C660" s="145"/>
      <c r="D660" s="145"/>
      <c r="E660" s="145"/>
      <c r="F660" s="145"/>
      <c r="G660" s="145"/>
      <c r="H660" s="145"/>
      <c r="I660" s="145"/>
      <c r="J660" s="145"/>
      <c r="K660" s="145"/>
      <c r="L660" s="145"/>
      <c r="M660" s="145"/>
      <c r="N660" s="145"/>
      <c r="O660" s="145"/>
      <c r="P660" s="145"/>
      <c r="Q660" s="145"/>
      <c r="R660" s="145"/>
      <c r="S660" s="145"/>
      <c r="T660" s="145"/>
      <c r="U660" s="145"/>
      <c r="V660" s="145"/>
      <c r="W660" s="145"/>
      <c r="X660" s="145"/>
      <c r="Y660" s="145"/>
      <c r="Z660" s="145"/>
    </row>
    <row r="661" spans="1:26" ht="15.75" x14ac:dyDescent="0.25">
      <c r="A661" s="145"/>
      <c r="B661" s="145"/>
      <c r="C661" s="145"/>
      <c r="D661" s="145"/>
      <c r="E661" s="145"/>
      <c r="F661" s="145"/>
      <c r="G661" s="145"/>
      <c r="H661" s="145"/>
      <c r="I661" s="145"/>
      <c r="J661" s="145"/>
      <c r="K661" s="145"/>
      <c r="L661" s="145"/>
      <c r="M661" s="145"/>
      <c r="N661" s="145"/>
      <c r="O661" s="145"/>
      <c r="P661" s="145"/>
      <c r="Q661" s="145"/>
      <c r="R661" s="145"/>
      <c r="S661" s="145"/>
      <c r="T661" s="145"/>
      <c r="U661" s="145"/>
      <c r="V661" s="145"/>
      <c r="W661" s="145"/>
      <c r="X661" s="145"/>
      <c r="Y661" s="145"/>
      <c r="Z661" s="145"/>
    </row>
    <row r="662" spans="1:26" ht="15.75" x14ac:dyDescent="0.25">
      <c r="A662" s="145"/>
      <c r="B662" s="145"/>
      <c r="C662" s="145"/>
      <c r="D662" s="145"/>
      <c r="E662" s="145"/>
      <c r="F662" s="145"/>
      <c r="G662" s="145"/>
      <c r="H662" s="145"/>
      <c r="I662" s="145"/>
      <c r="J662" s="145"/>
      <c r="K662" s="145"/>
      <c r="L662" s="145"/>
      <c r="M662" s="145"/>
      <c r="N662" s="145"/>
      <c r="O662" s="145"/>
      <c r="P662" s="145"/>
      <c r="Q662" s="145"/>
      <c r="R662" s="145"/>
      <c r="S662" s="145"/>
      <c r="T662" s="145"/>
      <c r="U662" s="145"/>
      <c r="V662" s="145"/>
      <c r="W662" s="145"/>
      <c r="X662" s="145"/>
      <c r="Y662" s="145"/>
      <c r="Z662" s="145"/>
    </row>
    <row r="663" spans="1:26" ht="15.75" x14ac:dyDescent="0.25">
      <c r="A663" s="145"/>
      <c r="B663" s="145"/>
      <c r="C663" s="145"/>
      <c r="D663" s="145"/>
      <c r="E663" s="145"/>
      <c r="F663" s="145"/>
      <c r="G663" s="145"/>
      <c r="H663" s="145"/>
      <c r="I663" s="145"/>
      <c r="J663" s="145"/>
      <c r="K663" s="145"/>
      <c r="L663" s="145"/>
      <c r="M663" s="145"/>
      <c r="N663" s="145"/>
      <c r="O663" s="145"/>
      <c r="P663" s="145"/>
      <c r="Q663" s="145"/>
      <c r="R663" s="145"/>
      <c r="S663" s="145"/>
      <c r="T663" s="145"/>
      <c r="U663" s="145"/>
      <c r="V663" s="145"/>
      <c r="W663" s="145"/>
      <c r="X663" s="145"/>
      <c r="Y663" s="145"/>
      <c r="Z663" s="145"/>
    </row>
    <row r="664" spans="1:26" ht="15.75" x14ac:dyDescent="0.25">
      <c r="A664" s="145"/>
      <c r="B664" s="145"/>
      <c r="C664" s="145"/>
      <c r="D664" s="145"/>
      <c r="E664" s="145"/>
      <c r="F664" s="145"/>
      <c r="G664" s="145"/>
      <c r="H664" s="145"/>
      <c r="I664" s="145"/>
      <c r="J664" s="145"/>
      <c r="K664" s="145"/>
      <c r="L664" s="145"/>
      <c r="M664" s="145"/>
      <c r="N664" s="145"/>
      <c r="O664" s="145"/>
      <c r="P664" s="145"/>
      <c r="Q664" s="145"/>
      <c r="R664" s="145"/>
      <c r="S664" s="145"/>
      <c r="T664" s="145"/>
      <c r="U664" s="145"/>
      <c r="V664" s="145"/>
      <c r="W664" s="145"/>
      <c r="X664" s="145"/>
      <c r="Y664" s="145"/>
      <c r="Z664" s="145"/>
    </row>
    <row r="665" spans="1:26" ht="15.75" x14ac:dyDescent="0.25">
      <c r="A665" s="145"/>
      <c r="B665" s="145"/>
      <c r="C665" s="145"/>
      <c r="D665" s="145"/>
      <c r="E665" s="145"/>
      <c r="F665" s="145"/>
      <c r="G665" s="145"/>
      <c r="H665" s="145"/>
      <c r="I665" s="145"/>
      <c r="J665" s="145"/>
      <c r="K665" s="145"/>
      <c r="L665" s="145"/>
      <c r="M665" s="145"/>
      <c r="N665" s="145"/>
      <c r="O665" s="145"/>
      <c r="P665" s="145"/>
      <c r="Q665" s="145"/>
      <c r="R665" s="145"/>
      <c r="S665" s="145"/>
      <c r="T665" s="145"/>
      <c r="U665" s="145"/>
      <c r="V665" s="145"/>
      <c r="W665" s="145"/>
      <c r="X665" s="145"/>
      <c r="Y665" s="145"/>
      <c r="Z665" s="145"/>
    </row>
    <row r="666" spans="1:26" ht="15.75" x14ac:dyDescent="0.25">
      <c r="A666" s="145"/>
      <c r="B666" s="145"/>
      <c r="C666" s="145"/>
      <c r="D666" s="145"/>
      <c r="E666" s="145"/>
      <c r="F666" s="145"/>
      <c r="G666" s="145"/>
      <c r="H666" s="145"/>
      <c r="I666" s="145"/>
      <c r="J666" s="145"/>
      <c r="K666" s="145"/>
      <c r="L666" s="145"/>
      <c r="M666" s="145"/>
      <c r="N666" s="145"/>
      <c r="O666" s="145"/>
      <c r="P666" s="145"/>
      <c r="Q666" s="145"/>
      <c r="R666" s="145"/>
      <c r="S666" s="145"/>
      <c r="T666" s="145"/>
      <c r="U666" s="145"/>
      <c r="V666" s="145"/>
      <c r="W666" s="145"/>
      <c r="X666" s="145"/>
      <c r="Y666" s="145"/>
      <c r="Z666" s="145"/>
    </row>
    <row r="667" spans="1:26" ht="15.75" x14ac:dyDescent="0.25">
      <c r="A667" s="145"/>
      <c r="B667" s="145"/>
      <c r="C667" s="145"/>
      <c r="D667" s="145"/>
      <c r="E667" s="145"/>
      <c r="F667" s="145"/>
      <c r="G667" s="145"/>
      <c r="H667" s="145"/>
      <c r="I667" s="145"/>
      <c r="J667" s="145"/>
      <c r="K667" s="145"/>
      <c r="L667" s="145"/>
      <c r="M667" s="145"/>
      <c r="N667" s="145"/>
      <c r="O667" s="145"/>
      <c r="P667" s="145"/>
      <c r="Q667" s="145"/>
      <c r="R667" s="145"/>
      <c r="S667" s="145"/>
      <c r="T667" s="145"/>
      <c r="U667" s="145"/>
      <c r="V667" s="145"/>
      <c r="W667" s="145"/>
      <c r="X667" s="145"/>
      <c r="Y667" s="145"/>
      <c r="Z667" s="145"/>
    </row>
    <row r="668" spans="1:26" ht="15.75" x14ac:dyDescent="0.25">
      <c r="A668" s="145"/>
      <c r="B668" s="145"/>
      <c r="C668" s="145"/>
      <c r="D668" s="145"/>
      <c r="E668" s="145"/>
      <c r="F668" s="145"/>
      <c r="G668" s="145"/>
      <c r="H668" s="145"/>
      <c r="I668" s="145"/>
      <c r="J668" s="145"/>
      <c r="K668" s="145"/>
      <c r="L668" s="145"/>
      <c r="M668" s="145"/>
      <c r="N668" s="145"/>
      <c r="O668" s="145"/>
      <c r="P668" s="145"/>
      <c r="Q668" s="145"/>
      <c r="R668" s="145"/>
      <c r="S668" s="145"/>
      <c r="T668" s="145"/>
      <c r="U668" s="145"/>
      <c r="V668" s="145"/>
      <c r="W668" s="145"/>
      <c r="X668" s="145"/>
      <c r="Y668" s="145"/>
      <c r="Z668" s="145"/>
    </row>
    <row r="669" spans="1:26" ht="15.75" x14ac:dyDescent="0.25">
      <c r="A669" s="145"/>
      <c r="B669" s="145"/>
      <c r="C669" s="145"/>
      <c r="D669" s="145"/>
      <c r="E669" s="145"/>
      <c r="F669" s="145"/>
      <c r="G669" s="145"/>
      <c r="H669" s="145"/>
      <c r="I669" s="145"/>
      <c r="J669" s="145"/>
      <c r="K669" s="145"/>
      <c r="L669" s="145"/>
      <c r="M669" s="145"/>
      <c r="N669" s="145"/>
      <c r="O669" s="145"/>
      <c r="P669" s="145"/>
      <c r="Q669" s="145"/>
      <c r="R669" s="145"/>
      <c r="S669" s="145"/>
      <c r="T669" s="145"/>
      <c r="U669" s="145"/>
      <c r="V669" s="145"/>
      <c r="W669" s="145"/>
      <c r="X669" s="145"/>
      <c r="Y669" s="145"/>
      <c r="Z669" s="145"/>
    </row>
    <row r="670" spans="1:26" ht="15.75" x14ac:dyDescent="0.25">
      <c r="A670" s="145"/>
      <c r="B670" s="145"/>
      <c r="C670" s="145"/>
      <c r="D670" s="145"/>
      <c r="E670" s="145"/>
      <c r="F670" s="145"/>
      <c r="G670" s="145"/>
      <c r="H670" s="145"/>
      <c r="I670" s="145"/>
      <c r="J670" s="145"/>
      <c r="K670" s="145"/>
      <c r="L670" s="145"/>
      <c r="M670" s="145"/>
      <c r="N670" s="145"/>
      <c r="O670" s="145"/>
      <c r="P670" s="145"/>
      <c r="Q670" s="145"/>
      <c r="R670" s="145"/>
      <c r="S670" s="145"/>
      <c r="T670" s="145"/>
      <c r="U670" s="145"/>
      <c r="V670" s="145"/>
      <c r="W670" s="145"/>
      <c r="X670" s="145"/>
      <c r="Y670" s="145"/>
      <c r="Z670" s="145"/>
    </row>
    <row r="671" spans="1:26" ht="15.75" x14ac:dyDescent="0.25">
      <c r="A671" s="145"/>
      <c r="B671" s="145"/>
      <c r="C671" s="145"/>
      <c r="D671" s="145"/>
      <c r="E671" s="145"/>
      <c r="F671" s="145"/>
      <c r="G671" s="145"/>
      <c r="H671" s="145"/>
      <c r="I671" s="145"/>
      <c r="J671" s="145"/>
      <c r="K671" s="145"/>
      <c r="L671" s="145"/>
      <c r="M671" s="145"/>
      <c r="N671" s="145"/>
      <c r="O671" s="145"/>
      <c r="P671" s="145"/>
      <c r="Q671" s="145"/>
      <c r="R671" s="145"/>
      <c r="S671" s="145"/>
      <c r="T671" s="145"/>
      <c r="U671" s="145"/>
      <c r="V671" s="145"/>
      <c r="W671" s="145"/>
      <c r="X671" s="145"/>
      <c r="Y671" s="145"/>
      <c r="Z671" s="145"/>
    </row>
    <row r="672" spans="1:26" ht="15.75" x14ac:dyDescent="0.25">
      <c r="A672" s="145"/>
      <c r="B672" s="145"/>
      <c r="C672" s="145"/>
      <c r="D672" s="145"/>
      <c r="E672" s="145"/>
      <c r="F672" s="145"/>
      <c r="G672" s="145"/>
      <c r="H672" s="145"/>
      <c r="I672" s="145"/>
      <c r="J672" s="145"/>
      <c r="K672" s="145"/>
      <c r="L672" s="145"/>
      <c r="M672" s="145"/>
      <c r="N672" s="145"/>
      <c r="O672" s="145"/>
      <c r="P672" s="145"/>
      <c r="Q672" s="145"/>
      <c r="R672" s="145"/>
      <c r="S672" s="145"/>
      <c r="T672" s="145"/>
      <c r="U672" s="145"/>
      <c r="V672" s="145"/>
      <c r="W672" s="145"/>
      <c r="X672" s="145"/>
      <c r="Y672" s="145"/>
      <c r="Z672" s="145"/>
    </row>
    <row r="673" spans="1:26" ht="15.75" x14ac:dyDescent="0.25">
      <c r="A673" s="145"/>
      <c r="B673" s="145"/>
      <c r="C673" s="145"/>
      <c r="D673" s="145"/>
      <c r="E673" s="145"/>
      <c r="F673" s="145"/>
      <c r="G673" s="145"/>
      <c r="H673" s="145"/>
      <c r="I673" s="145"/>
      <c r="J673" s="145"/>
      <c r="K673" s="145"/>
      <c r="L673" s="145"/>
      <c r="M673" s="145"/>
      <c r="N673" s="145"/>
      <c r="O673" s="145"/>
      <c r="P673" s="145"/>
      <c r="Q673" s="145"/>
      <c r="R673" s="145"/>
      <c r="S673" s="145"/>
      <c r="T673" s="145"/>
      <c r="U673" s="145"/>
      <c r="V673" s="145"/>
      <c r="W673" s="145"/>
      <c r="X673" s="145"/>
      <c r="Y673" s="145"/>
      <c r="Z673" s="145"/>
    </row>
    <row r="674" spans="1:26" ht="15.75" x14ac:dyDescent="0.25">
      <c r="A674" s="145"/>
      <c r="B674" s="145"/>
      <c r="C674" s="145"/>
      <c r="D674" s="145"/>
      <c r="E674" s="145"/>
      <c r="F674" s="145"/>
      <c r="G674" s="145"/>
      <c r="H674" s="145"/>
      <c r="I674" s="145"/>
      <c r="J674" s="145"/>
      <c r="K674" s="145"/>
      <c r="L674" s="145"/>
      <c r="M674" s="145"/>
      <c r="N674" s="145"/>
      <c r="O674" s="145"/>
      <c r="P674" s="145"/>
      <c r="Q674" s="145"/>
      <c r="R674" s="145"/>
      <c r="S674" s="145"/>
      <c r="T674" s="145"/>
      <c r="U674" s="145"/>
      <c r="V674" s="145"/>
      <c r="W674" s="145"/>
      <c r="X674" s="145"/>
      <c r="Y674" s="145"/>
      <c r="Z674" s="145"/>
    </row>
    <row r="675" spans="1:26" ht="15.75" x14ac:dyDescent="0.25">
      <c r="A675" s="145"/>
      <c r="B675" s="145"/>
      <c r="C675" s="145"/>
      <c r="D675" s="145"/>
      <c r="E675" s="145"/>
      <c r="F675" s="145"/>
      <c r="G675" s="145"/>
      <c r="H675" s="145"/>
      <c r="I675" s="145"/>
      <c r="J675" s="145"/>
      <c r="K675" s="145"/>
      <c r="L675" s="145"/>
      <c r="M675" s="145"/>
      <c r="N675" s="145"/>
      <c r="O675" s="145"/>
      <c r="P675" s="145"/>
      <c r="Q675" s="145"/>
      <c r="R675" s="145"/>
      <c r="S675" s="145"/>
      <c r="T675" s="145"/>
      <c r="U675" s="145"/>
      <c r="V675" s="145"/>
      <c r="W675" s="145"/>
      <c r="X675" s="145"/>
      <c r="Y675" s="145"/>
      <c r="Z675" s="145"/>
    </row>
    <row r="676" spans="1:26" ht="15.75" x14ac:dyDescent="0.25">
      <c r="A676" s="145"/>
      <c r="B676" s="145"/>
      <c r="C676" s="145"/>
      <c r="D676" s="145"/>
      <c r="E676" s="145"/>
      <c r="F676" s="145"/>
      <c r="G676" s="145"/>
      <c r="H676" s="145"/>
      <c r="I676" s="145"/>
      <c r="J676" s="145"/>
      <c r="K676" s="145"/>
      <c r="L676" s="145"/>
      <c r="M676" s="145"/>
      <c r="N676" s="145"/>
      <c r="O676" s="145"/>
      <c r="P676" s="145"/>
      <c r="Q676" s="145"/>
      <c r="R676" s="145"/>
      <c r="S676" s="145"/>
      <c r="T676" s="145"/>
      <c r="U676" s="145"/>
      <c r="V676" s="145"/>
      <c r="W676" s="145"/>
      <c r="X676" s="145"/>
      <c r="Y676" s="145"/>
      <c r="Z676" s="145"/>
    </row>
    <row r="677" spans="1:26" ht="15.75" x14ac:dyDescent="0.25">
      <c r="A677" s="145"/>
      <c r="B677" s="145"/>
      <c r="C677" s="145"/>
      <c r="D677" s="145"/>
      <c r="E677" s="145"/>
      <c r="F677" s="145"/>
      <c r="G677" s="145"/>
      <c r="H677" s="145"/>
      <c r="I677" s="145"/>
      <c r="J677" s="145"/>
      <c r="K677" s="145"/>
      <c r="L677" s="145"/>
      <c r="M677" s="145"/>
      <c r="N677" s="145"/>
      <c r="O677" s="145"/>
      <c r="P677" s="145"/>
      <c r="Q677" s="145"/>
      <c r="R677" s="145"/>
      <c r="S677" s="145"/>
      <c r="T677" s="145"/>
      <c r="U677" s="145"/>
      <c r="V677" s="145"/>
      <c r="W677" s="145"/>
      <c r="X677" s="145"/>
      <c r="Y677" s="145"/>
      <c r="Z677" s="145"/>
    </row>
    <row r="678" spans="1:26" ht="15.75" x14ac:dyDescent="0.25">
      <c r="A678" s="145"/>
      <c r="B678" s="145"/>
      <c r="C678" s="145"/>
      <c r="D678" s="145"/>
      <c r="E678" s="145"/>
      <c r="F678" s="145"/>
      <c r="G678" s="145"/>
      <c r="H678" s="145"/>
      <c r="I678" s="145"/>
      <c r="J678" s="145"/>
      <c r="K678" s="145"/>
      <c r="L678" s="145"/>
      <c r="M678" s="145"/>
      <c r="N678" s="145"/>
      <c r="O678" s="145"/>
      <c r="P678" s="145"/>
      <c r="Q678" s="145"/>
      <c r="R678" s="145"/>
      <c r="S678" s="145"/>
      <c r="T678" s="145"/>
      <c r="U678" s="145"/>
      <c r="V678" s="145"/>
      <c r="W678" s="145"/>
      <c r="X678" s="145"/>
      <c r="Y678" s="145"/>
      <c r="Z678" s="145"/>
    </row>
    <row r="679" spans="1:26" ht="15.75" x14ac:dyDescent="0.25">
      <c r="A679" s="145"/>
      <c r="B679" s="145"/>
      <c r="C679" s="145"/>
      <c r="D679" s="145"/>
      <c r="E679" s="145"/>
      <c r="F679" s="145"/>
      <c r="G679" s="145"/>
      <c r="H679" s="145"/>
      <c r="I679" s="145"/>
      <c r="J679" s="145"/>
      <c r="K679" s="145"/>
      <c r="L679" s="145"/>
      <c r="M679" s="145"/>
      <c r="N679" s="145"/>
      <c r="O679" s="145"/>
      <c r="P679" s="145"/>
      <c r="Q679" s="145"/>
      <c r="R679" s="145"/>
      <c r="S679" s="145"/>
      <c r="T679" s="145"/>
      <c r="U679" s="145"/>
      <c r="V679" s="145"/>
      <c r="W679" s="145"/>
      <c r="X679" s="145"/>
      <c r="Y679" s="145"/>
      <c r="Z679" s="145"/>
    </row>
    <row r="680" spans="1:26" ht="15.75" x14ac:dyDescent="0.25">
      <c r="A680" s="145"/>
      <c r="B680" s="145"/>
      <c r="C680" s="145"/>
      <c r="D680" s="145"/>
      <c r="E680" s="145"/>
      <c r="F680" s="145"/>
      <c r="G680" s="145"/>
      <c r="H680" s="145"/>
      <c r="I680" s="145"/>
      <c r="J680" s="145"/>
      <c r="K680" s="145"/>
      <c r="L680" s="145"/>
      <c r="M680" s="145"/>
      <c r="N680" s="145"/>
      <c r="O680" s="145"/>
      <c r="P680" s="145"/>
      <c r="Q680" s="145"/>
      <c r="R680" s="145"/>
      <c r="S680" s="145"/>
      <c r="T680" s="145"/>
      <c r="U680" s="145"/>
      <c r="V680" s="145"/>
      <c r="W680" s="145"/>
      <c r="X680" s="145"/>
      <c r="Y680" s="145"/>
      <c r="Z680" s="145"/>
    </row>
    <row r="681" spans="1:26" ht="15.75" x14ac:dyDescent="0.25">
      <c r="A681" s="145"/>
      <c r="B681" s="145"/>
      <c r="C681" s="145"/>
      <c r="D681" s="145"/>
      <c r="E681" s="145"/>
      <c r="F681" s="145"/>
      <c r="G681" s="145"/>
      <c r="H681" s="145"/>
      <c r="I681" s="145"/>
      <c r="J681" s="145"/>
      <c r="K681" s="145"/>
      <c r="L681" s="145"/>
      <c r="M681" s="145"/>
      <c r="N681" s="145"/>
      <c r="O681" s="145"/>
      <c r="P681" s="145"/>
      <c r="Q681" s="145"/>
      <c r="R681" s="145"/>
      <c r="S681" s="145"/>
      <c r="T681" s="145"/>
      <c r="U681" s="145"/>
      <c r="V681" s="145"/>
      <c r="W681" s="145"/>
      <c r="X681" s="145"/>
      <c r="Y681" s="145"/>
      <c r="Z681" s="145"/>
    </row>
    <row r="682" spans="1:26" ht="15.75" x14ac:dyDescent="0.25">
      <c r="A682" s="145"/>
      <c r="B682" s="145"/>
      <c r="C682" s="145"/>
      <c r="D682" s="145"/>
      <c r="E682" s="145"/>
      <c r="F682" s="145"/>
      <c r="G682" s="145"/>
      <c r="H682" s="145"/>
      <c r="I682" s="145"/>
      <c r="J682" s="145"/>
      <c r="K682" s="145"/>
      <c r="L682" s="145"/>
      <c r="M682" s="145"/>
      <c r="N682" s="145"/>
      <c r="O682" s="145"/>
      <c r="P682" s="145"/>
      <c r="Q682" s="145"/>
      <c r="R682" s="145"/>
      <c r="S682" s="145"/>
      <c r="T682" s="145"/>
      <c r="U682" s="145"/>
      <c r="V682" s="145"/>
      <c r="W682" s="145"/>
      <c r="X682" s="145"/>
      <c r="Y682" s="145"/>
      <c r="Z682" s="145"/>
    </row>
    <row r="683" spans="1:26" ht="15.75" x14ac:dyDescent="0.25">
      <c r="A683" s="145"/>
      <c r="B683" s="145"/>
      <c r="C683" s="145"/>
      <c r="D683" s="145"/>
      <c r="E683" s="145"/>
      <c r="F683" s="145"/>
      <c r="G683" s="145"/>
      <c r="H683" s="145"/>
      <c r="I683" s="145"/>
      <c r="J683" s="145"/>
      <c r="K683" s="145"/>
      <c r="L683" s="145"/>
      <c r="M683" s="145"/>
      <c r="N683" s="145"/>
      <c r="O683" s="145"/>
      <c r="P683" s="145"/>
      <c r="Q683" s="145"/>
      <c r="R683" s="145"/>
      <c r="S683" s="145"/>
      <c r="T683" s="145"/>
      <c r="U683" s="145"/>
      <c r="V683" s="145"/>
      <c r="W683" s="145"/>
      <c r="X683" s="145"/>
      <c r="Y683" s="145"/>
      <c r="Z683" s="145"/>
    </row>
    <row r="684" spans="1:26" ht="15.75" x14ac:dyDescent="0.25">
      <c r="A684" s="145"/>
      <c r="B684" s="145"/>
      <c r="C684" s="145"/>
      <c r="D684" s="145"/>
      <c r="E684" s="145"/>
      <c r="F684" s="145"/>
      <c r="G684" s="145"/>
      <c r="H684" s="145"/>
      <c r="I684" s="145"/>
      <c r="J684" s="145"/>
      <c r="K684" s="145"/>
      <c r="L684" s="145"/>
      <c r="M684" s="145"/>
      <c r="N684" s="145"/>
      <c r="O684" s="145"/>
      <c r="P684" s="145"/>
      <c r="Q684" s="145"/>
      <c r="R684" s="145"/>
      <c r="S684" s="145"/>
      <c r="T684" s="145"/>
      <c r="U684" s="145"/>
      <c r="V684" s="145"/>
      <c r="W684" s="145"/>
      <c r="X684" s="145"/>
      <c r="Y684" s="145"/>
      <c r="Z684" s="145"/>
    </row>
    <row r="685" spans="1:26" ht="15.75" x14ac:dyDescent="0.25">
      <c r="A685" s="145"/>
      <c r="B685" s="145"/>
      <c r="C685" s="145"/>
      <c r="D685" s="145"/>
      <c r="E685" s="145"/>
      <c r="F685" s="145"/>
      <c r="G685" s="145"/>
      <c r="H685" s="145"/>
      <c r="I685" s="145"/>
      <c r="J685" s="145"/>
      <c r="K685" s="145"/>
      <c r="L685" s="145"/>
      <c r="M685" s="145"/>
      <c r="N685" s="145"/>
      <c r="O685" s="145"/>
      <c r="P685" s="145"/>
      <c r="Q685" s="145"/>
      <c r="R685" s="145"/>
      <c r="S685" s="145"/>
      <c r="T685" s="145"/>
      <c r="U685" s="145"/>
      <c r="V685" s="145"/>
      <c r="W685" s="145"/>
      <c r="X685" s="145"/>
      <c r="Y685" s="145"/>
      <c r="Z685" s="145"/>
    </row>
    <row r="686" spans="1:26" ht="15.75" x14ac:dyDescent="0.25">
      <c r="A686" s="145"/>
      <c r="B686" s="145"/>
      <c r="C686" s="145"/>
      <c r="D686" s="145"/>
      <c r="E686" s="145"/>
      <c r="F686" s="145"/>
      <c r="G686" s="145"/>
      <c r="H686" s="145"/>
      <c r="I686" s="145"/>
      <c r="J686" s="145"/>
      <c r="K686" s="145"/>
      <c r="L686" s="145"/>
      <c r="M686" s="145"/>
      <c r="N686" s="145"/>
      <c r="O686" s="145"/>
      <c r="P686" s="145"/>
      <c r="Q686" s="145"/>
      <c r="R686" s="145"/>
      <c r="S686" s="145"/>
      <c r="T686" s="145"/>
      <c r="U686" s="145"/>
      <c r="V686" s="145"/>
      <c r="W686" s="145"/>
      <c r="X686" s="145"/>
      <c r="Y686" s="145"/>
      <c r="Z686" s="145"/>
    </row>
    <row r="687" spans="1:26" ht="15.75" x14ac:dyDescent="0.25">
      <c r="A687" s="145"/>
      <c r="B687" s="145"/>
      <c r="C687" s="145"/>
      <c r="D687" s="145"/>
      <c r="E687" s="145"/>
      <c r="F687" s="145"/>
      <c r="G687" s="145"/>
      <c r="H687" s="145"/>
      <c r="I687" s="145"/>
      <c r="J687" s="145"/>
      <c r="K687" s="145"/>
      <c r="L687" s="145"/>
      <c r="M687" s="145"/>
      <c r="N687" s="145"/>
      <c r="O687" s="145"/>
      <c r="P687" s="145"/>
      <c r="Q687" s="145"/>
      <c r="R687" s="145"/>
      <c r="S687" s="145"/>
      <c r="T687" s="145"/>
      <c r="U687" s="145"/>
      <c r="V687" s="145"/>
      <c r="W687" s="145"/>
      <c r="X687" s="145"/>
      <c r="Y687" s="145"/>
      <c r="Z687" s="145"/>
    </row>
    <row r="688" spans="1:26" ht="15.75" x14ac:dyDescent="0.25">
      <c r="A688" s="145"/>
      <c r="B688" s="145"/>
      <c r="C688" s="145"/>
      <c r="D688" s="145"/>
      <c r="E688" s="145"/>
      <c r="F688" s="145"/>
      <c r="G688" s="145"/>
      <c r="H688" s="145"/>
      <c r="I688" s="145"/>
      <c r="J688" s="145"/>
      <c r="K688" s="145"/>
      <c r="L688" s="145"/>
      <c r="M688" s="145"/>
      <c r="N688" s="145"/>
      <c r="O688" s="145"/>
      <c r="P688" s="145"/>
      <c r="Q688" s="145"/>
      <c r="R688" s="145"/>
      <c r="S688" s="145"/>
      <c r="T688" s="145"/>
      <c r="U688" s="145"/>
      <c r="V688" s="145"/>
      <c r="W688" s="145"/>
      <c r="X688" s="145"/>
      <c r="Y688" s="145"/>
      <c r="Z688" s="145"/>
    </row>
    <row r="689" spans="1:26" ht="15.75" x14ac:dyDescent="0.25">
      <c r="A689" s="145"/>
      <c r="B689" s="145"/>
      <c r="C689" s="145"/>
      <c r="D689" s="145"/>
      <c r="E689" s="145"/>
      <c r="F689" s="145"/>
      <c r="G689" s="145"/>
      <c r="H689" s="145"/>
      <c r="I689" s="145"/>
      <c r="J689" s="145"/>
      <c r="K689" s="145"/>
      <c r="L689" s="145"/>
      <c r="M689" s="145"/>
      <c r="N689" s="145"/>
      <c r="O689" s="145"/>
      <c r="P689" s="145"/>
      <c r="Q689" s="145"/>
      <c r="R689" s="145"/>
      <c r="S689" s="145"/>
      <c r="T689" s="145"/>
      <c r="U689" s="145"/>
      <c r="V689" s="145"/>
      <c r="W689" s="145"/>
      <c r="X689" s="145"/>
      <c r="Y689" s="145"/>
      <c r="Z689" s="145"/>
    </row>
    <row r="690" spans="1:26" ht="15.75" x14ac:dyDescent="0.25">
      <c r="A690" s="145"/>
      <c r="B690" s="145"/>
      <c r="C690" s="145"/>
      <c r="D690" s="145"/>
      <c r="E690" s="145"/>
      <c r="F690" s="145"/>
      <c r="G690" s="145"/>
      <c r="H690" s="145"/>
      <c r="I690" s="145"/>
      <c r="J690" s="145"/>
      <c r="K690" s="145"/>
      <c r="L690" s="145"/>
      <c r="M690" s="145"/>
      <c r="N690" s="145"/>
      <c r="O690" s="145"/>
      <c r="P690" s="145"/>
      <c r="Q690" s="145"/>
      <c r="R690" s="145"/>
      <c r="S690" s="145"/>
      <c r="T690" s="145"/>
      <c r="U690" s="145"/>
      <c r="V690" s="145"/>
      <c r="W690" s="145"/>
      <c r="X690" s="145"/>
      <c r="Y690" s="145"/>
      <c r="Z690" s="145"/>
    </row>
    <row r="691" spans="1:26" ht="15.75" x14ac:dyDescent="0.25">
      <c r="A691" s="145"/>
      <c r="B691" s="145"/>
      <c r="C691" s="145"/>
      <c r="D691" s="145"/>
      <c r="E691" s="145"/>
      <c r="F691" s="145"/>
      <c r="G691" s="145"/>
      <c r="H691" s="145"/>
      <c r="I691" s="145"/>
      <c r="J691" s="145"/>
      <c r="K691" s="145"/>
      <c r="L691" s="145"/>
      <c r="M691" s="145"/>
      <c r="N691" s="145"/>
      <c r="O691" s="145"/>
      <c r="P691" s="145"/>
      <c r="Q691" s="145"/>
      <c r="R691" s="145"/>
      <c r="S691" s="145"/>
      <c r="T691" s="145"/>
      <c r="U691" s="145"/>
      <c r="V691" s="145"/>
      <c r="W691" s="145"/>
      <c r="X691" s="145"/>
      <c r="Y691" s="145"/>
      <c r="Z691" s="145"/>
    </row>
    <row r="692" spans="1:26" ht="15.75" x14ac:dyDescent="0.25">
      <c r="A692" s="145"/>
      <c r="B692" s="145"/>
      <c r="C692" s="145"/>
      <c r="D692" s="145"/>
      <c r="E692" s="145"/>
      <c r="F692" s="145"/>
      <c r="G692" s="145"/>
      <c r="H692" s="145"/>
      <c r="I692" s="145"/>
      <c r="J692" s="145"/>
      <c r="K692" s="145"/>
      <c r="L692" s="145"/>
      <c r="M692" s="145"/>
      <c r="N692" s="145"/>
      <c r="O692" s="145"/>
      <c r="P692" s="145"/>
      <c r="Q692" s="145"/>
      <c r="R692" s="145"/>
      <c r="S692" s="145"/>
      <c r="T692" s="145"/>
      <c r="U692" s="145"/>
      <c r="V692" s="145"/>
      <c r="W692" s="145"/>
      <c r="X692" s="145"/>
      <c r="Y692" s="145"/>
      <c r="Z692" s="145"/>
    </row>
    <row r="693" spans="1:26" ht="15.75" x14ac:dyDescent="0.25">
      <c r="A693" s="145"/>
      <c r="B693" s="145"/>
      <c r="C693" s="145"/>
      <c r="D693" s="145"/>
      <c r="E693" s="145"/>
      <c r="F693" s="145"/>
      <c r="G693" s="145"/>
      <c r="H693" s="145"/>
      <c r="I693" s="145"/>
      <c r="J693" s="145"/>
      <c r="K693" s="145"/>
      <c r="L693" s="145"/>
      <c r="M693" s="145"/>
      <c r="N693" s="145"/>
      <c r="O693" s="145"/>
      <c r="P693" s="145"/>
      <c r="Q693" s="145"/>
      <c r="R693" s="145"/>
      <c r="S693" s="145"/>
      <c r="T693" s="145"/>
      <c r="U693" s="145"/>
      <c r="V693" s="145"/>
      <c r="W693" s="145"/>
      <c r="X693" s="145"/>
      <c r="Y693" s="145"/>
      <c r="Z693" s="145"/>
    </row>
    <row r="694" spans="1:26" ht="15.75" x14ac:dyDescent="0.25">
      <c r="A694" s="145"/>
      <c r="B694" s="145"/>
      <c r="C694" s="145"/>
      <c r="D694" s="145"/>
      <c r="E694" s="145"/>
      <c r="F694" s="145"/>
      <c r="G694" s="145"/>
      <c r="H694" s="145"/>
      <c r="I694" s="145"/>
      <c r="J694" s="145"/>
      <c r="K694" s="145"/>
      <c r="L694" s="145"/>
      <c r="M694" s="145"/>
      <c r="N694" s="145"/>
      <c r="O694" s="145"/>
      <c r="P694" s="145"/>
      <c r="Q694" s="145"/>
      <c r="R694" s="145"/>
      <c r="S694" s="145"/>
      <c r="T694" s="145"/>
      <c r="U694" s="145"/>
      <c r="V694" s="145"/>
      <c r="W694" s="145"/>
      <c r="X694" s="145"/>
      <c r="Y694" s="145"/>
      <c r="Z694" s="145"/>
    </row>
    <row r="695" spans="1:26" ht="15.75" x14ac:dyDescent="0.25">
      <c r="A695" s="145"/>
      <c r="B695" s="145"/>
      <c r="C695" s="145"/>
      <c r="D695" s="145"/>
      <c r="E695" s="145"/>
      <c r="F695" s="145"/>
      <c r="G695" s="145"/>
      <c r="H695" s="145"/>
      <c r="I695" s="145"/>
      <c r="J695" s="145"/>
      <c r="K695" s="145"/>
      <c r="L695" s="145"/>
      <c r="M695" s="145"/>
      <c r="N695" s="145"/>
      <c r="O695" s="145"/>
      <c r="P695" s="145"/>
      <c r="Q695" s="145"/>
      <c r="R695" s="145"/>
      <c r="S695" s="145"/>
      <c r="T695" s="145"/>
      <c r="U695" s="145"/>
      <c r="V695" s="145"/>
      <c r="W695" s="145"/>
      <c r="X695" s="145"/>
      <c r="Y695" s="145"/>
      <c r="Z695" s="145"/>
    </row>
    <row r="696" spans="1:26" ht="15.75" x14ac:dyDescent="0.25">
      <c r="A696" s="145"/>
      <c r="B696" s="145"/>
      <c r="C696" s="145"/>
      <c r="D696" s="145"/>
      <c r="E696" s="145"/>
      <c r="F696" s="145"/>
      <c r="G696" s="145"/>
      <c r="H696" s="145"/>
      <c r="I696" s="145"/>
      <c r="J696" s="145"/>
      <c r="K696" s="145"/>
      <c r="L696" s="145"/>
      <c r="M696" s="145"/>
      <c r="N696" s="145"/>
      <c r="O696" s="145"/>
      <c r="P696" s="145"/>
      <c r="Q696" s="145"/>
      <c r="R696" s="145"/>
      <c r="S696" s="145"/>
      <c r="T696" s="145"/>
      <c r="U696" s="145"/>
      <c r="V696" s="145"/>
      <c r="W696" s="145"/>
      <c r="X696" s="145"/>
      <c r="Y696" s="145"/>
      <c r="Z696" s="145"/>
    </row>
    <row r="697" spans="1:26" ht="15.75" x14ac:dyDescent="0.25">
      <c r="A697" s="145"/>
      <c r="B697" s="145"/>
      <c r="C697" s="145"/>
      <c r="D697" s="145"/>
      <c r="E697" s="145"/>
      <c r="F697" s="145"/>
      <c r="G697" s="145"/>
      <c r="H697" s="145"/>
      <c r="I697" s="145"/>
      <c r="J697" s="145"/>
      <c r="K697" s="145"/>
      <c r="L697" s="145"/>
      <c r="M697" s="145"/>
      <c r="N697" s="145"/>
      <c r="O697" s="145"/>
      <c r="P697" s="145"/>
      <c r="Q697" s="145"/>
      <c r="R697" s="145"/>
      <c r="S697" s="145"/>
      <c r="T697" s="145"/>
      <c r="U697" s="145"/>
      <c r="V697" s="145"/>
      <c r="W697" s="145"/>
      <c r="X697" s="145"/>
      <c r="Y697" s="145"/>
      <c r="Z697" s="145"/>
    </row>
    <row r="698" spans="1:26" ht="15.75" x14ac:dyDescent="0.25">
      <c r="A698" s="145"/>
      <c r="B698" s="145"/>
      <c r="C698" s="145"/>
      <c r="D698" s="145"/>
      <c r="E698" s="145"/>
      <c r="F698" s="145"/>
      <c r="G698" s="145"/>
      <c r="H698" s="145"/>
      <c r="I698" s="145"/>
      <c r="J698" s="145"/>
      <c r="K698" s="145"/>
      <c r="L698" s="145"/>
      <c r="M698" s="145"/>
      <c r="N698" s="145"/>
      <c r="O698" s="145"/>
      <c r="P698" s="145"/>
      <c r="Q698" s="145"/>
      <c r="R698" s="145"/>
      <c r="S698" s="145"/>
      <c r="T698" s="145"/>
      <c r="U698" s="145"/>
      <c r="V698" s="145"/>
      <c r="W698" s="145"/>
      <c r="X698" s="145"/>
      <c r="Y698" s="145"/>
      <c r="Z698" s="145"/>
    </row>
    <row r="699" spans="1:26" ht="15.75" x14ac:dyDescent="0.25">
      <c r="A699" s="145"/>
      <c r="B699" s="145"/>
      <c r="C699" s="145"/>
      <c r="D699" s="145"/>
      <c r="E699" s="145"/>
      <c r="F699" s="145"/>
      <c r="G699" s="145"/>
      <c r="H699" s="145"/>
      <c r="I699" s="145"/>
      <c r="J699" s="145"/>
      <c r="K699" s="145"/>
      <c r="L699" s="145"/>
      <c r="M699" s="145"/>
      <c r="N699" s="145"/>
      <c r="O699" s="145"/>
      <c r="P699" s="145"/>
      <c r="Q699" s="145"/>
      <c r="R699" s="145"/>
      <c r="S699" s="145"/>
      <c r="T699" s="145"/>
      <c r="U699" s="145"/>
      <c r="V699" s="145"/>
      <c r="W699" s="145"/>
      <c r="X699" s="145"/>
      <c r="Y699" s="145"/>
      <c r="Z699" s="145"/>
    </row>
    <row r="700" spans="1:26" ht="15.75" x14ac:dyDescent="0.25">
      <c r="A700" s="145"/>
      <c r="B700" s="145"/>
      <c r="C700" s="145"/>
      <c r="D700" s="145"/>
      <c r="E700" s="145"/>
      <c r="F700" s="145"/>
      <c r="G700" s="145"/>
      <c r="H700" s="145"/>
      <c r="I700" s="145"/>
      <c r="J700" s="145"/>
      <c r="K700" s="145"/>
      <c r="L700" s="145"/>
      <c r="M700" s="145"/>
      <c r="N700" s="145"/>
      <c r="O700" s="145"/>
      <c r="P700" s="145"/>
      <c r="Q700" s="145"/>
      <c r="R700" s="145"/>
      <c r="S700" s="145"/>
      <c r="T700" s="145"/>
      <c r="U700" s="145"/>
      <c r="V700" s="145"/>
      <c r="W700" s="145"/>
      <c r="X700" s="145"/>
      <c r="Y700" s="145"/>
      <c r="Z700" s="145"/>
    </row>
    <row r="701" spans="1:26" ht="15.75" x14ac:dyDescent="0.25">
      <c r="A701" s="145"/>
      <c r="B701" s="145"/>
      <c r="C701" s="145"/>
      <c r="D701" s="145"/>
      <c r="E701" s="145"/>
      <c r="F701" s="145"/>
      <c r="G701" s="145"/>
      <c r="H701" s="145"/>
      <c r="I701" s="145"/>
      <c r="J701" s="145"/>
      <c r="K701" s="145"/>
      <c r="L701" s="145"/>
      <c r="M701" s="145"/>
      <c r="N701" s="145"/>
      <c r="O701" s="145"/>
      <c r="P701" s="145"/>
      <c r="Q701" s="145"/>
      <c r="R701" s="145"/>
      <c r="S701" s="145"/>
      <c r="T701" s="145"/>
      <c r="U701" s="145"/>
      <c r="V701" s="145"/>
      <c r="W701" s="145"/>
      <c r="X701" s="145"/>
      <c r="Y701" s="145"/>
      <c r="Z701" s="145"/>
    </row>
    <row r="702" spans="1:26" ht="15.75" x14ac:dyDescent="0.25">
      <c r="A702" s="145"/>
      <c r="B702" s="145"/>
      <c r="C702" s="145"/>
      <c r="D702" s="145"/>
      <c r="E702" s="145"/>
      <c r="F702" s="145"/>
      <c r="G702" s="145"/>
      <c r="H702" s="145"/>
      <c r="I702" s="145"/>
      <c r="J702" s="145"/>
      <c r="K702" s="145"/>
      <c r="L702" s="145"/>
      <c r="M702" s="145"/>
      <c r="N702" s="145"/>
      <c r="O702" s="145"/>
      <c r="P702" s="145"/>
      <c r="Q702" s="145"/>
      <c r="R702" s="145"/>
      <c r="S702" s="145"/>
      <c r="T702" s="145"/>
      <c r="U702" s="145"/>
      <c r="V702" s="145"/>
      <c r="W702" s="145"/>
      <c r="X702" s="145"/>
      <c r="Y702" s="145"/>
      <c r="Z702" s="145"/>
    </row>
    <row r="703" spans="1:26" ht="15.75" x14ac:dyDescent="0.25">
      <c r="A703" s="145"/>
      <c r="B703" s="145"/>
      <c r="C703" s="145"/>
      <c r="D703" s="145"/>
      <c r="E703" s="145"/>
      <c r="F703" s="145"/>
      <c r="G703" s="145"/>
      <c r="H703" s="145"/>
      <c r="I703" s="145"/>
      <c r="J703" s="145"/>
      <c r="K703" s="145"/>
      <c r="L703" s="145"/>
      <c r="M703" s="145"/>
      <c r="N703" s="145"/>
      <c r="O703" s="145"/>
      <c r="P703" s="145"/>
      <c r="Q703" s="145"/>
      <c r="R703" s="145"/>
      <c r="S703" s="145"/>
      <c r="T703" s="145"/>
      <c r="U703" s="145"/>
      <c r="V703" s="145"/>
      <c r="W703" s="145"/>
      <c r="X703" s="145"/>
      <c r="Y703" s="145"/>
      <c r="Z703" s="145"/>
    </row>
    <row r="704" spans="1:26" ht="15.75" x14ac:dyDescent="0.25">
      <c r="A704" s="145"/>
      <c r="B704" s="145"/>
      <c r="C704" s="145"/>
      <c r="D704" s="145"/>
      <c r="E704" s="145"/>
      <c r="F704" s="145"/>
      <c r="G704" s="145"/>
      <c r="H704" s="145"/>
      <c r="I704" s="145"/>
      <c r="J704" s="145"/>
      <c r="K704" s="145"/>
      <c r="L704" s="145"/>
      <c r="M704" s="145"/>
      <c r="N704" s="145"/>
      <c r="O704" s="145"/>
      <c r="P704" s="145"/>
      <c r="Q704" s="145"/>
      <c r="R704" s="145"/>
      <c r="S704" s="145"/>
      <c r="T704" s="145"/>
      <c r="U704" s="145"/>
      <c r="V704" s="145"/>
      <c r="W704" s="145"/>
      <c r="X704" s="145"/>
      <c r="Y704" s="145"/>
      <c r="Z704" s="145"/>
    </row>
    <row r="705" spans="1:26" ht="15.75" x14ac:dyDescent="0.25">
      <c r="A705" s="145"/>
      <c r="B705" s="145"/>
      <c r="C705" s="145"/>
      <c r="D705" s="145"/>
      <c r="E705" s="145"/>
      <c r="F705" s="145"/>
      <c r="G705" s="145"/>
      <c r="H705" s="145"/>
      <c r="I705" s="145"/>
      <c r="J705" s="145"/>
      <c r="K705" s="145"/>
      <c r="L705" s="145"/>
      <c r="M705" s="145"/>
      <c r="N705" s="145"/>
      <c r="O705" s="145"/>
      <c r="P705" s="145"/>
      <c r="Q705" s="145"/>
      <c r="R705" s="145"/>
      <c r="S705" s="145"/>
      <c r="T705" s="145"/>
      <c r="U705" s="145"/>
      <c r="V705" s="145"/>
      <c r="W705" s="145"/>
      <c r="X705" s="145"/>
      <c r="Y705" s="145"/>
      <c r="Z705" s="145"/>
    </row>
    <row r="706" spans="1:26" ht="15.75" x14ac:dyDescent="0.25">
      <c r="A706" s="145"/>
      <c r="B706" s="145"/>
      <c r="C706" s="145"/>
      <c r="D706" s="145"/>
      <c r="E706" s="145"/>
      <c r="F706" s="145"/>
      <c r="G706" s="145"/>
      <c r="H706" s="145"/>
      <c r="I706" s="145"/>
      <c r="J706" s="145"/>
      <c r="K706" s="145"/>
      <c r="L706" s="145"/>
      <c r="M706" s="145"/>
      <c r="N706" s="145"/>
      <c r="O706" s="145"/>
      <c r="P706" s="145"/>
      <c r="Q706" s="145"/>
      <c r="R706" s="145"/>
      <c r="S706" s="145"/>
      <c r="T706" s="145"/>
      <c r="U706" s="145"/>
      <c r="V706" s="145"/>
      <c r="W706" s="145"/>
      <c r="X706" s="145"/>
      <c r="Y706" s="145"/>
      <c r="Z706" s="145"/>
    </row>
    <row r="707" spans="1:26" ht="15.75" x14ac:dyDescent="0.25">
      <c r="A707" s="145"/>
      <c r="B707" s="145"/>
      <c r="C707" s="145"/>
      <c r="D707" s="145"/>
      <c r="E707" s="145"/>
      <c r="F707" s="145"/>
      <c r="G707" s="145"/>
      <c r="H707" s="145"/>
      <c r="I707" s="145"/>
      <c r="J707" s="145"/>
      <c r="K707" s="145"/>
      <c r="L707" s="145"/>
      <c r="M707" s="145"/>
      <c r="N707" s="145"/>
      <c r="O707" s="145"/>
      <c r="P707" s="145"/>
      <c r="Q707" s="145"/>
      <c r="R707" s="145"/>
      <c r="S707" s="145"/>
      <c r="T707" s="145"/>
      <c r="U707" s="145"/>
      <c r="V707" s="145"/>
      <c r="W707" s="145"/>
      <c r="X707" s="145"/>
      <c r="Y707" s="145"/>
      <c r="Z707" s="145"/>
    </row>
    <row r="708" spans="1:26" ht="15.75" x14ac:dyDescent="0.25">
      <c r="A708" s="145"/>
      <c r="B708" s="145"/>
      <c r="C708" s="145"/>
      <c r="D708" s="145"/>
      <c r="E708" s="145"/>
      <c r="F708" s="145"/>
      <c r="G708" s="145"/>
      <c r="H708" s="145"/>
      <c r="I708" s="145"/>
      <c r="J708" s="145"/>
      <c r="K708" s="145"/>
      <c r="L708" s="145"/>
      <c r="M708" s="145"/>
      <c r="N708" s="145"/>
      <c r="O708" s="145"/>
      <c r="P708" s="145"/>
      <c r="Q708" s="145"/>
      <c r="R708" s="145"/>
      <c r="S708" s="145"/>
      <c r="T708" s="145"/>
      <c r="U708" s="145"/>
      <c r="V708" s="145"/>
      <c r="W708" s="145"/>
      <c r="X708" s="145"/>
      <c r="Y708" s="145"/>
      <c r="Z708" s="145"/>
    </row>
    <row r="709" spans="1:26" ht="15.75" x14ac:dyDescent="0.25">
      <c r="A709" s="145"/>
      <c r="B709" s="145"/>
      <c r="C709" s="145"/>
      <c r="D709" s="145"/>
      <c r="E709" s="145"/>
      <c r="F709" s="145"/>
      <c r="G709" s="145"/>
      <c r="H709" s="145"/>
      <c r="I709" s="145"/>
      <c r="J709" s="145"/>
      <c r="K709" s="145"/>
      <c r="L709" s="145"/>
      <c r="M709" s="145"/>
      <c r="N709" s="145"/>
      <c r="O709" s="145"/>
      <c r="P709" s="145"/>
      <c r="Q709" s="145"/>
      <c r="R709" s="145"/>
      <c r="S709" s="145"/>
      <c r="T709" s="145"/>
      <c r="U709" s="145"/>
      <c r="V709" s="145"/>
      <c r="W709" s="145"/>
      <c r="X709" s="145"/>
      <c r="Y709" s="145"/>
      <c r="Z709" s="145"/>
    </row>
    <row r="710" spans="1:26" ht="15.75" x14ac:dyDescent="0.25">
      <c r="A710" s="145"/>
      <c r="B710" s="145"/>
      <c r="C710" s="145"/>
      <c r="D710" s="145"/>
      <c r="E710" s="145"/>
      <c r="F710" s="145"/>
      <c r="G710" s="145"/>
      <c r="H710" s="145"/>
      <c r="I710" s="145"/>
      <c r="J710" s="145"/>
      <c r="K710" s="145"/>
      <c r="L710" s="145"/>
      <c r="M710" s="145"/>
      <c r="N710" s="145"/>
      <c r="O710" s="145"/>
      <c r="P710" s="145"/>
      <c r="Q710" s="145"/>
      <c r="R710" s="145"/>
      <c r="S710" s="145"/>
      <c r="T710" s="145"/>
      <c r="U710" s="145"/>
      <c r="V710" s="145"/>
      <c r="W710" s="145"/>
      <c r="X710" s="145"/>
      <c r="Y710" s="145"/>
      <c r="Z710" s="145"/>
    </row>
    <row r="711" spans="1:26" ht="15.75" x14ac:dyDescent="0.25">
      <c r="A711" s="145"/>
      <c r="B711" s="145"/>
      <c r="C711" s="145"/>
      <c r="D711" s="145"/>
      <c r="E711" s="145"/>
      <c r="F711" s="145"/>
      <c r="G711" s="145"/>
      <c r="H711" s="145"/>
      <c r="I711" s="145"/>
      <c r="J711" s="145"/>
      <c r="K711" s="145"/>
      <c r="L711" s="145"/>
      <c r="M711" s="145"/>
      <c r="N711" s="145"/>
      <c r="O711" s="145"/>
      <c r="P711" s="145"/>
      <c r="Q711" s="145"/>
      <c r="R711" s="145"/>
      <c r="S711" s="145"/>
      <c r="T711" s="145"/>
      <c r="U711" s="145"/>
      <c r="V711" s="145"/>
      <c r="W711" s="145"/>
      <c r="X711" s="145"/>
      <c r="Y711" s="145"/>
      <c r="Z711" s="145"/>
    </row>
    <row r="712" spans="1:26" ht="15.75" x14ac:dyDescent="0.25">
      <c r="A712" s="145"/>
      <c r="B712" s="145"/>
      <c r="C712" s="145"/>
      <c r="D712" s="145"/>
      <c r="E712" s="145"/>
      <c r="F712" s="145"/>
      <c r="G712" s="145"/>
      <c r="H712" s="145"/>
      <c r="I712" s="145"/>
      <c r="J712" s="145"/>
      <c r="K712" s="145"/>
      <c r="L712" s="145"/>
      <c r="M712" s="145"/>
      <c r="N712" s="145"/>
      <c r="O712" s="145"/>
      <c r="P712" s="145"/>
      <c r="Q712" s="145"/>
      <c r="R712" s="145"/>
      <c r="S712" s="145"/>
      <c r="T712" s="145"/>
      <c r="U712" s="145"/>
      <c r="V712" s="145"/>
      <c r="W712" s="145"/>
      <c r="X712" s="145"/>
      <c r="Y712" s="145"/>
      <c r="Z712" s="145"/>
    </row>
    <row r="713" spans="1:26" ht="15.75" x14ac:dyDescent="0.25">
      <c r="A713" s="145"/>
      <c r="B713" s="145"/>
      <c r="C713" s="145"/>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row>
    <row r="714" spans="1:26" ht="15.75" x14ac:dyDescent="0.25">
      <c r="A714" s="145"/>
      <c r="B714" s="145"/>
      <c r="C714" s="145"/>
      <c r="D714" s="145"/>
      <c r="E714" s="145"/>
      <c r="F714" s="145"/>
      <c r="G714" s="145"/>
      <c r="H714" s="145"/>
      <c r="I714" s="145"/>
      <c r="J714" s="145"/>
      <c r="K714" s="145"/>
      <c r="L714" s="145"/>
      <c r="M714" s="145"/>
      <c r="N714" s="145"/>
      <c r="O714" s="145"/>
      <c r="P714" s="145"/>
      <c r="Q714" s="145"/>
      <c r="R714" s="145"/>
      <c r="S714" s="145"/>
      <c r="T714" s="145"/>
      <c r="U714" s="145"/>
      <c r="V714" s="145"/>
      <c r="W714" s="145"/>
      <c r="X714" s="145"/>
      <c r="Y714" s="145"/>
      <c r="Z714" s="145"/>
    </row>
    <row r="715" spans="1:26" ht="15.75" x14ac:dyDescent="0.25">
      <c r="A715" s="145"/>
      <c r="B715" s="145"/>
      <c r="C715" s="145"/>
      <c r="D715" s="145"/>
      <c r="E715" s="145"/>
      <c r="F715" s="145"/>
      <c r="G715" s="145"/>
      <c r="H715" s="145"/>
      <c r="I715" s="145"/>
      <c r="J715" s="145"/>
      <c r="K715" s="145"/>
      <c r="L715" s="145"/>
      <c r="M715" s="145"/>
      <c r="N715" s="145"/>
      <c r="O715" s="145"/>
      <c r="P715" s="145"/>
      <c r="Q715" s="145"/>
      <c r="R715" s="145"/>
      <c r="S715" s="145"/>
      <c r="T715" s="145"/>
      <c r="U715" s="145"/>
      <c r="V715" s="145"/>
      <c r="W715" s="145"/>
      <c r="X715" s="145"/>
      <c r="Y715" s="145"/>
      <c r="Z715" s="145"/>
    </row>
    <row r="716" spans="1:26" ht="15.75" x14ac:dyDescent="0.25">
      <c r="A716" s="145"/>
      <c r="B716" s="145"/>
      <c r="C716" s="145"/>
      <c r="D716" s="145"/>
      <c r="E716" s="145"/>
      <c r="F716" s="145"/>
      <c r="G716" s="145"/>
      <c r="H716" s="145"/>
      <c r="I716" s="145"/>
      <c r="J716" s="145"/>
      <c r="K716" s="145"/>
      <c r="L716" s="145"/>
      <c r="M716" s="145"/>
      <c r="N716" s="145"/>
      <c r="O716" s="145"/>
      <c r="P716" s="145"/>
      <c r="Q716" s="145"/>
      <c r="R716" s="145"/>
      <c r="S716" s="145"/>
      <c r="T716" s="145"/>
      <c r="U716" s="145"/>
      <c r="V716" s="145"/>
      <c r="W716" s="145"/>
      <c r="X716" s="145"/>
      <c r="Y716" s="145"/>
      <c r="Z716" s="145"/>
    </row>
    <row r="717" spans="1:26" ht="15.75" x14ac:dyDescent="0.25">
      <c r="A717" s="145"/>
      <c r="B717" s="145"/>
      <c r="C717" s="145"/>
      <c r="D717" s="145"/>
      <c r="E717" s="145"/>
      <c r="F717" s="145"/>
      <c r="G717" s="145"/>
      <c r="H717" s="145"/>
      <c r="I717" s="145"/>
      <c r="J717" s="145"/>
      <c r="K717" s="145"/>
      <c r="L717" s="145"/>
      <c r="M717" s="145"/>
      <c r="N717" s="145"/>
      <c r="O717" s="145"/>
      <c r="P717" s="145"/>
      <c r="Q717" s="145"/>
      <c r="R717" s="145"/>
      <c r="S717" s="145"/>
      <c r="T717" s="145"/>
      <c r="U717" s="145"/>
      <c r="V717" s="145"/>
      <c r="W717" s="145"/>
      <c r="X717" s="145"/>
      <c r="Y717" s="145"/>
      <c r="Z717" s="145"/>
    </row>
    <row r="718" spans="1:26" ht="15.75" x14ac:dyDescent="0.25">
      <c r="A718" s="145"/>
      <c r="B718" s="145"/>
      <c r="C718" s="145"/>
      <c r="D718" s="145"/>
      <c r="E718" s="145"/>
      <c r="F718" s="145"/>
      <c r="G718" s="145"/>
      <c r="H718" s="145"/>
      <c r="I718" s="145"/>
      <c r="J718" s="145"/>
      <c r="K718" s="145"/>
      <c r="L718" s="145"/>
      <c r="M718" s="145"/>
      <c r="N718" s="145"/>
      <c r="O718" s="145"/>
      <c r="P718" s="145"/>
      <c r="Q718" s="145"/>
      <c r="R718" s="145"/>
      <c r="S718" s="145"/>
      <c r="T718" s="145"/>
      <c r="U718" s="145"/>
      <c r="V718" s="145"/>
      <c r="W718" s="145"/>
      <c r="X718" s="145"/>
      <c r="Y718" s="145"/>
      <c r="Z718" s="145"/>
    </row>
    <row r="719" spans="1:26" ht="15.75" x14ac:dyDescent="0.25">
      <c r="A719" s="145"/>
      <c r="B719" s="145"/>
      <c r="C719" s="145"/>
      <c r="D719" s="145"/>
      <c r="E719" s="145"/>
      <c r="F719" s="145"/>
      <c r="G719" s="145"/>
      <c r="H719" s="145"/>
      <c r="I719" s="145"/>
      <c r="J719" s="145"/>
      <c r="K719" s="145"/>
      <c r="L719" s="145"/>
      <c r="M719" s="145"/>
      <c r="N719" s="145"/>
      <c r="O719" s="145"/>
      <c r="P719" s="145"/>
      <c r="Q719" s="145"/>
      <c r="R719" s="145"/>
      <c r="S719" s="145"/>
      <c r="T719" s="145"/>
      <c r="U719" s="145"/>
      <c r="V719" s="145"/>
      <c r="W719" s="145"/>
      <c r="X719" s="145"/>
      <c r="Y719" s="145"/>
      <c r="Z719" s="145"/>
    </row>
    <row r="720" spans="1:26" ht="15.75" x14ac:dyDescent="0.25">
      <c r="A720" s="145"/>
      <c r="B720" s="145"/>
      <c r="C720" s="145"/>
      <c r="D720" s="145"/>
      <c r="E720" s="145"/>
      <c r="F720" s="145"/>
      <c r="G720" s="145"/>
      <c r="H720" s="145"/>
      <c r="I720" s="145"/>
      <c r="J720" s="145"/>
      <c r="K720" s="145"/>
      <c r="L720" s="145"/>
      <c r="M720" s="145"/>
      <c r="N720" s="145"/>
      <c r="O720" s="145"/>
      <c r="P720" s="145"/>
      <c r="Q720" s="145"/>
      <c r="R720" s="145"/>
      <c r="S720" s="145"/>
      <c r="T720" s="145"/>
      <c r="U720" s="145"/>
      <c r="V720" s="145"/>
      <c r="W720" s="145"/>
      <c r="X720" s="145"/>
      <c r="Y720" s="145"/>
      <c r="Z720" s="145"/>
    </row>
    <row r="721" spans="1:26" ht="15.75" x14ac:dyDescent="0.25">
      <c r="A721" s="145"/>
      <c r="B721" s="145"/>
      <c r="C721" s="145"/>
      <c r="D721" s="145"/>
      <c r="E721" s="145"/>
      <c r="F721" s="145"/>
      <c r="G721" s="145"/>
      <c r="H721" s="145"/>
      <c r="I721" s="145"/>
      <c r="J721" s="145"/>
      <c r="K721" s="145"/>
      <c r="L721" s="145"/>
      <c r="M721" s="145"/>
      <c r="N721" s="145"/>
      <c r="O721" s="145"/>
      <c r="P721" s="145"/>
      <c r="Q721" s="145"/>
      <c r="R721" s="145"/>
      <c r="S721" s="145"/>
      <c r="T721" s="145"/>
      <c r="U721" s="145"/>
      <c r="V721" s="145"/>
      <c r="W721" s="145"/>
      <c r="X721" s="145"/>
      <c r="Y721" s="145"/>
      <c r="Z721" s="145"/>
    </row>
    <row r="722" spans="1:26" ht="15.75" x14ac:dyDescent="0.25">
      <c r="A722" s="145"/>
      <c r="B722" s="145"/>
      <c r="C722" s="145"/>
      <c r="D722" s="145"/>
      <c r="E722" s="145"/>
      <c r="F722" s="145"/>
      <c r="G722" s="145"/>
      <c r="H722" s="145"/>
      <c r="I722" s="145"/>
      <c r="J722" s="145"/>
      <c r="K722" s="145"/>
      <c r="L722" s="145"/>
      <c r="M722" s="145"/>
      <c r="N722" s="145"/>
      <c r="O722" s="145"/>
      <c r="P722" s="145"/>
      <c r="Q722" s="145"/>
      <c r="R722" s="145"/>
      <c r="S722" s="145"/>
      <c r="T722" s="145"/>
      <c r="U722" s="145"/>
      <c r="V722" s="145"/>
      <c r="W722" s="145"/>
      <c r="X722" s="145"/>
      <c r="Y722" s="145"/>
      <c r="Z722" s="145"/>
    </row>
    <row r="723" spans="1:26" ht="15.75" x14ac:dyDescent="0.25">
      <c r="A723" s="145"/>
      <c r="B723" s="145"/>
      <c r="C723" s="145"/>
      <c r="D723" s="145"/>
      <c r="E723" s="145"/>
      <c r="F723" s="145"/>
      <c r="G723" s="145"/>
      <c r="H723" s="145"/>
      <c r="I723" s="145"/>
      <c r="J723" s="145"/>
      <c r="K723" s="145"/>
      <c r="L723" s="145"/>
      <c r="M723" s="145"/>
      <c r="N723" s="145"/>
      <c r="O723" s="145"/>
      <c r="P723" s="145"/>
      <c r="Q723" s="145"/>
      <c r="R723" s="145"/>
      <c r="S723" s="145"/>
      <c r="T723" s="145"/>
      <c r="U723" s="145"/>
      <c r="V723" s="145"/>
      <c r="W723" s="145"/>
      <c r="X723" s="145"/>
      <c r="Y723" s="145"/>
      <c r="Z723" s="145"/>
    </row>
    <row r="724" spans="1:26" ht="15.75" x14ac:dyDescent="0.25">
      <c r="A724" s="145"/>
      <c r="B724" s="145"/>
      <c r="C724" s="145"/>
      <c r="D724" s="145"/>
      <c r="E724" s="145"/>
      <c r="F724" s="145"/>
      <c r="G724" s="145"/>
      <c r="H724" s="145"/>
      <c r="I724" s="145"/>
      <c r="J724" s="145"/>
      <c r="K724" s="145"/>
      <c r="L724" s="145"/>
      <c r="M724" s="145"/>
      <c r="N724" s="145"/>
      <c r="O724" s="145"/>
      <c r="P724" s="145"/>
      <c r="Q724" s="145"/>
      <c r="R724" s="145"/>
      <c r="S724" s="145"/>
      <c r="T724" s="145"/>
      <c r="U724" s="145"/>
      <c r="V724" s="145"/>
      <c r="W724" s="145"/>
      <c r="X724" s="145"/>
      <c r="Y724" s="145"/>
      <c r="Z724" s="145"/>
    </row>
    <row r="725" spans="1:26" ht="15.75" x14ac:dyDescent="0.25">
      <c r="A725" s="145"/>
      <c r="B725" s="145"/>
      <c r="C725" s="145"/>
      <c r="D725" s="145"/>
      <c r="E725" s="145"/>
      <c r="F725" s="145"/>
      <c r="G725" s="145"/>
      <c r="H725" s="145"/>
      <c r="I725" s="145"/>
      <c r="J725" s="145"/>
      <c r="K725" s="145"/>
      <c r="L725" s="145"/>
      <c r="M725" s="145"/>
      <c r="N725" s="145"/>
      <c r="O725" s="145"/>
      <c r="P725" s="145"/>
      <c r="Q725" s="145"/>
      <c r="R725" s="145"/>
      <c r="S725" s="145"/>
      <c r="T725" s="145"/>
      <c r="U725" s="145"/>
      <c r="V725" s="145"/>
      <c r="W725" s="145"/>
      <c r="X725" s="145"/>
      <c r="Y725" s="145"/>
      <c r="Z725" s="145"/>
    </row>
    <row r="726" spans="1:26" ht="15.75" x14ac:dyDescent="0.25">
      <c r="A726" s="145"/>
      <c r="B726" s="145"/>
      <c r="C726" s="145"/>
      <c r="D726" s="145"/>
      <c r="E726" s="145"/>
      <c r="F726" s="145"/>
      <c r="G726" s="145"/>
      <c r="H726" s="145"/>
      <c r="I726" s="145"/>
      <c r="J726" s="145"/>
      <c r="K726" s="145"/>
      <c r="L726" s="145"/>
      <c r="M726" s="145"/>
      <c r="N726" s="145"/>
      <c r="O726" s="145"/>
      <c r="P726" s="145"/>
      <c r="Q726" s="145"/>
      <c r="R726" s="145"/>
      <c r="S726" s="145"/>
      <c r="T726" s="145"/>
      <c r="U726" s="145"/>
      <c r="V726" s="145"/>
      <c r="W726" s="145"/>
      <c r="X726" s="145"/>
      <c r="Y726" s="145"/>
      <c r="Z726" s="145"/>
    </row>
    <row r="727" spans="1:26" ht="15.75" x14ac:dyDescent="0.25">
      <c r="A727" s="145"/>
      <c r="B727" s="145"/>
      <c r="C727" s="145"/>
      <c r="D727" s="145"/>
      <c r="E727" s="145"/>
      <c r="F727" s="145"/>
      <c r="G727" s="145"/>
      <c r="H727" s="145"/>
      <c r="I727" s="145"/>
      <c r="J727" s="145"/>
      <c r="K727" s="145"/>
      <c r="L727" s="145"/>
      <c r="M727" s="145"/>
      <c r="N727" s="145"/>
      <c r="O727" s="145"/>
      <c r="P727" s="145"/>
      <c r="Q727" s="145"/>
      <c r="R727" s="145"/>
      <c r="S727" s="145"/>
      <c r="T727" s="145"/>
      <c r="U727" s="145"/>
      <c r="V727" s="145"/>
      <c r="W727" s="145"/>
      <c r="X727" s="145"/>
      <c r="Y727" s="145"/>
      <c r="Z727" s="145"/>
    </row>
    <row r="728" spans="1:26" ht="15.75" x14ac:dyDescent="0.25">
      <c r="A728" s="145"/>
      <c r="B728" s="145"/>
      <c r="C728" s="145"/>
      <c r="D728" s="145"/>
      <c r="E728" s="145"/>
      <c r="F728" s="145"/>
      <c r="G728" s="145"/>
      <c r="H728" s="145"/>
      <c r="I728" s="145"/>
      <c r="J728" s="145"/>
      <c r="K728" s="145"/>
      <c r="L728" s="145"/>
      <c r="M728" s="145"/>
      <c r="N728" s="145"/>
      <c r="O728" s="145"/>
      <c r="P728" s="145"/>
      <c r="Q728" s="145"/>
      <c r="R728" s="145"/>
      <c r="S728" s="145"/>
      <c r="T728" s="145"/>
      <c r="U728" s="145"/>
      <c r="V728" s="145"/>
      <c r="W728" s="145"/>
      <c r="X728" s="145"/>
      <c r="Y728" s="145"/>
      <c r="Z728" s="145"/>
    </row>
    <row r="729" spans="1:26" ht="15.75" x14ac:dyDescent="0.25">
      <c r="A729" s="145"/>
      <c r="B729" s="145"/>
      <c r="C729" s="145"/>
      <c r="D729" s="145"/>
      <c r="E729" s="145"/>
      <c r="F729" s="145"/>
      <c r="G729" s="145"/>
      <c r="H729" s="145"/>
      <c r="I729" s="145"/>
      <c r="J729" s="145"/>
      <c r="K729" s="145"/>
      <c r="L729" s="145"/>
      <c r="M729" s="145"/>
      <c r="N729" s="145"/>
      <c r="O729" s="145"/>
      <c r="P729" s="145"/>
      <c r="Q729" s="145"/>
      <c r="R729" s="145"/>
      <c r="S729" s="145"/>
      <c r="T729" s="145"/>
      <c r="U729" s="145"/>
      <c r="V729" s="145"/>
      <c r="W729" s="145"/>
      <c r="X729" s="145"/>
      <c r="Y729" s="145"/>
      <c r="Z729" s="145"/>
    </row>
    <row r="730" spans="1:26" ht="15.75" x14ac:dyDescent="0.25">
      <c r="A730" s="145"/>
      <c r="B730" s="145"/>
      <c r="C730" s="145"/>
      <c r="D730" s="145"/>
      <c r="E730" s="145"/>
      <c r="F730" s="145"/>
      <c r="G730" s="145"/>
      <c r="H730" s="145"/>
      <c r="I730" s="145"/>
      <c r="J730" s="145"/>
      <c r="K730" s="145"/>
      <c r="L730" s="145"/>
      <c r="M730" s="145"/>
      <c r="N730" s="145"/>
      <c r="O730" s="145"/>
      <c r="P730" s="145"/>
      <c r="Q730" s="145"/>
      <c r="R730" s="145"/>
      <c r="S730" s="145"/>
      <c r="T730" s="145"/>
      <c r="U730" s="145"/>
      <c r="V730" s="145"/>
      <c r="W730" s="145"/>
      <c r="X730" s="145"/>
      <c r="Y730" s="145"/>
      <c r="Z730" s="145"/>
    </row>
    <row r="731" spans="1:26" ht="15.75" x14ac:dyDescent="0.25">
      <c r="A731" s="145"/>
      <c r="B731" s="145"/>
      <c r="C731" s="145"/>
      <c r="D731" s="145"/>
      <c r="E731" s="145"/>
      <c r="F731" s="145"/>
      <c r="G731" s="145"/>
      <c r="H731" s="145"/>
      <c r="I731" s="145"/>
      <c r="J731" s="145"/>
      <c r="K731" s="145"/>
      <c r="L731" s="145"/>
      <c r="M731" s="145"/>
      <c r="N731" s="145"/>
      <c r="O731" s="145"/>
      <c r="P731" s="145"/>
      <c r="Q731" s="145"/>
      <c r="R731" s="145"/>
      <c r="S731" s="145"/>
      <c r="T731" s="145"/>
      <c r="U731" s="145"/>
      <c r="V731" s="145"/>
      <c r="W731" s="145"/>
      <c r="X731" s="145"/>
      <c r="Y731" s="145"/>
      <c r="Z731" s="145"/>
    </row>
    <row r="732" spans="1:26" ht="15.75" x14ac:dyDescent="0.25">
      <c r="A732" s="145"/>
      <c r="B732" s="145"/>
      <c r="C732" s="145"/>
      <c r="D732" s="145"/>
      <c r="E732" s="145"/>
      <c r="F732" s="145"/>
      <c r="G732" s="145"/>
      <c r="H732" s="145"/>
      <c r="I732" s="145"/>
      <c r="J732" s="145"/>
      <c r="K732" s="145"/>
      <c r="L732" s="145"/>
      <c r="M732" s="145"/>
      <c r="N732" s="145"/>
      <c r="O732" s="145"/>
      <c r="P732" s="145"/>
      <c r="Q732" s="145"/>
      <c r="R732" s="145"/>
      <c r="S732" s="145"/>
      <c r="T732" s="145"/>
      <c r="U732" s="145"/>
      <c r="V732" s="145"/>
      <c r="W732" s="145"/>
      <c r="X732" s="145"/>
      <c r="Y732" s="145"/>
      <c r="Z732" s="145"/>
    </row>
    <row r="733" spans="1:26" ht="15.75" x14ac:dyDescent="0.25">
      <c r="A733" s="145"/>
      <c r="B733" s="145"/>
      <c r="C733" s="145"/>
      <c r="D733" s="145"/>
      <c r="E733" s="145"/>
      <c r="F733" s="145"/>
      <c r="G733" s="145"/>
      <c r="H733" s="145"/>
      <c r="I733" s="145"/>
      <c r="J733" s="145"/>
      <c r="K733" s="145"/>
      <c r="L733" s="145"/>
      <c r="M733" s="145"/>
      <c r="N733" s="145"/>
      <c r="O733" s="145"/>
      <c r="P733" s="145"/>
      <c r="Q733" s="145"/>
      <c r="R733" s="145"/>
      <c r="S733" s="145"/>
      <c r="T733" s="145"/>
      <c r="U733" s="145"/>
      <c r="V733" s="145"/>
      <c r="W733" s="145"/>
      <c r="X733" s="145"/>
      <c r="Y733" s="145"/>
      <c r="Z733" s="145"/>
    </row>
    <row r="734" spans="1:26" ht="15.75" x14ac:dyDescent="0.25">
      <c r="A734" s="145"/>
      <c r="B734" s="145"/>
      <c r="C734" s="145"/>
      <c r="D734" s="145"/>
      <c r="E734" s="145"/>
      <c r="F734" s="145"/>
      <c r="G734" s="145"/>
      <c r="H734" s="145"/>
      <c r="I734" s="145"/>
      <c r="J734" s="145"/>
      <c r="K734" s="145"/>
      <c r="L734" s="145"/>
      <c r="M734" s="145"/>
      <c r="N734" s="145"/>
      <c r="O734" s="145"/>
      <c r="P734" s="145"/>
      <c r="Q734" s="145"/>
      <c r="R734" s="145"/>
      <c r="S734" s="145"/>
      <c r="T734" s="145"/>
      <c r="U734" s="145"/>
      <c r="V734" s="145"/>
      <c r="W734" s="145"/>
      <c r="X734" s="145"/>
      <c r="Y734" s="145"/>
      <c r="Z734" s="145"/>
    </row>
    <row r="735" spans="1:26" ht="15.75" x14ac:dyDescent="0.25">
      <c r="A735" s="145"/>
      <c r="B735" s="145"/>
      <c r="C735" s="145"/>
      <c r="D735" s="145"/>
      <c r="E735" s="145"/>
      <c r="F735" s="145"/>
      <c r="G735" s="145"/>
      <c r="H735" s="145"/>
      <c r="I735" s="145"/>
      <c r="J735" s="145"/>
      <c r="K735" s="145"/>
      <c r="L735" s="145"/>
      <c r="M735" s="145"/>
      <c r="N735" s="145"/>
      <c r="O735" s="145"/>
      <c r="P735" s="145"/>
      <c r="Q735" s="145"/>
      <c r="R735" s="145"/>
      <c r="S735" s="145"/>
      <c r="T735" s="145"/>
      <c r="U735" s="145"/>
      <c r="V735" s="145"/>
      <c r="W735" s="145"/>
      <c r="X735" s="145"/>
      <c r="Y735" s="145"/>
      <c r="Z735" s="145"/>
    </row>
    <row r="736" spans="1:26" ht="15.75" x14ac:dyDescent="0.25">
      <c r="A736" s="145"/>
      <c r="B736" s="145"/>
      <c r="C736" s="145"/>
      <c r="D736" s="145"/>
      <c r="E736" s="145"/>
      <c r="F736" s="145"/>
      <c r="G736" s="145"/>
      <c r="H736" s="145"/>
      <c r="I736" s="145"/>
      <c r="J736" s="145"/>
      <c r="K736" s="145"/>
      <c r="L736" s="145"/>
      <c r="M736" s="145"/>
      <c r="N736" s="145"/>
      <c r="O736" s="145"/>
      <c r="P736" s="145"/>
      <c r="Q736" s="145"/>
      <c r="R736" s="145"/>
      <c r="S736" s="145"/>
      <c r="T736" s="145"/>
      <c r="U736" s="145"/>
      <c r="V736" s="145"/>
      <c r="W736" s="145"/>
      <c r="X736" s="145"/>
      <c r="Y736" s="145"/>
      <c r="Z736" s="145"/>
    </row>
    <row r="737" spans="1:26" ht="15.75" x14ac:dyDescent="0.25">
      <c r="A737" s="145"/>
      <c r="B737" s="145"/>
      <c r="C737" s="145"/>
      <c r="D737" s="145"/>
      <c r="E737" s="145"/>
      <c r="F737" s="145"/>
      <c r="G737" s="145"/>
      <c r="H737" s="145"/>
      <c r="I737" s="145"/>
      <c r="J737" s="145"/>
      <c r="K737" s="145"/>
      <c r="L737" s="145"/>
      <c r="M737" s="145"/>
      <c r="N737" s="145"/>
      <c r="O737" s="145"/>
      <c r="P737" s="145"/>
      <c r="Q737" s="145"/>
      <c r="R737" s="145"/>
      <c r="S737" s="145"/>
      <c r="T737" s="145"/>
      <c r="U737" s="145"/>
      <c r="V737" s="145"/>
      <c r="W737" s="145"/>
      <c r="X737" s="145"/>
      <c r="Y737" s="145"/>
      <c r="Z737" s="145"/>
    </row>
    <row r="738" spans="1:26" ht="15.75" x14ac:dyDescent="0.25">
      <c r="A738" s="145"/>
      <c r="B738" s="145"/>
      <c r="C738" s="145"/>
      <c r="D738" s="145"/>
      <c r="E738" s="145"/>
      <c r="F738" s="145"/>
      <c r="G738" s="145"/>
      <c r="H738" s="145"/>
      <c r="I738" s="145"/>
      <c r="J738" s="145"/>
      <c r="K738" s="145"/>
      <c r="L738" s="145"/>
      <c r="M738" s="145"/>
      <c r="N738" s="145"/>
      <c r="O738" s="145"/>
      <c r="P738" s="145"/>
      <c r="Q738" s="145"/>
      <c r="R738" s="145"/>
      <c r="S738" s="145"/>
      <c r="T738" s="145"/>
      <c r="U738" s="145"/>
      <c r="V738" s="145"/>
      <c r="W738" s="145"/>
      <c r="X738" s="145"/>
      <c r="Y738" s="145"/>
      <c r="Z738" s="145"/>
    </row>
    <row r="739" spans="1:26" ht="15.75" x14ac:dyDescent="0.25">
      <c r="A739" s="145"/>
      <c r="B739" s="145"/>
      <c r="C739" s="145"/>
      <c r="D739" s="145"/>
      <c r="E739" s="145"/>
      <c r="F739" s="145"/>
      <c r="G739" s="145"/>
      <c r="H739" s="145"/>
      <c r="I739" s="145"/>
      <c r="J739" s="145"/>
      <c r="K739" s="145"/>
      <c r="L739" s="145"/>
      <c r="M739" s="145"/>
      <c r="N739" s="145"/>
      <c r="O739" s="145"/>
      <c r="P739" s="145"/>
      <c r="Q739" s="145"/>
      <c r="R739" s="145"/>
      <c r="S739" s="145"/>
      <c r="T739" s="145"/>
      <c r="U739" s="145"/>
      <c r="V739" s="145"/>
      <c r="W739" s="145"/>
      <c r="X739" s="145"/>
      <c r="Y739" s="145"/>
      <c r="Z739" s="145"/>
    </row>
    <row r="740" spans="1:26" ht="15.75" x14ac:dyDescent="0.25">
      <c r="A740" s="145"/>
      <c r="B740" s="145"/>
      <c r="C740" s="145"/>
      <c r="D740" s="145"/>
      <c r="E740" s="145"/>
      <c r="F740" s="145"/>
      <c r="G740" s="145"/>
      <c r="H740" s="145"/>
      <c r="I740" s="145"/>
      <c r="J740" s="145"/>
      <c r="K740" s="145"/>
      <c r="L740" s="145"/>
      <c r="M740" s="145"/>
      <c r="N740" s="145"/>
      <c r="O740" s="145"/>
      <c r="P740" s="145"/>
      <c r="Q740" s="145"/>
      <c r="R740" s="145"/>
      <c r="S740" s="145"/>
      <c r="T740" s="145"/>
      <c r="U740" s="145"/>
      <c r="V740" s="145"/>
      <c r="W740" s="145"/>
      <c r="X740" s="145"/>
      <c r="Y740" s="145"/>
      <c r="Z740" s="145"/>
    </row>
    <row r="741" spans="1:26" ht="15.75" x14ac:dyDescent="0.25">
      <c r="A741" s="145"/>
      <c r="B741" s="145"/>
      <c r="C741" s="145"/>
      <c r="D741" s="145"/>
      <c r="E741" s="145"/>
      <c r="F741" s="145"/>
      <c r="G741" s="145"/>
      <c r="H741" s="145"/>
      <c r="I741" s="145"/>
      <c r="J741" s="145"/>
      <c r="K741" s="145"/>
      <c r="L741" s="145"/>
      <c r="M741" s="145"/>
      <c r="N741" s="145"/>
      <c r="O741" s="145"/>
      <c r="P741" s="145"/>
      <c r="Q741" s="145"/>
      <c r="R741" s="145"/>
      <c r="S741" s="145"/>
      <c r="T741" s="145"/>
      <c r="U741" s="145"/>
      <c r="V741" s="145"/>
      <c r="W741" s="145"/>
      <c r="X741" s="145"/>
      <c r="Y741" s="145"/>
      <c r="Z741" s="145"/>
    </row>
    <row r="742" spans="1:26" ht="15.75" x14ac:dyDescent="0.25">
      <c r="A742" s="145"/>
      <c r="B742" s="145"/>
      <c r="C742" s="145"/>
      <c r="D742" s="145"/>
      <c r="E742" s="145"/>
      <c r="F742" s="145"/>
      <c r="G742" s="145"/>
      <c r="H742" s="145"/>
      <c r="I742" s="145"/>
      <c r="J742" s="145"/>
      <c r="K742" s="145"/>
      <c r="L742" s="145"/>
      <c r="M742" s="145"/>
      <c r="N742" s="145"/>
      <c r="O742" s="145"/>
      <c r="P742" s="145"/>
      <c r="Q742" s="145"/>
      <c r="R742" s="145"/>
      <c r="S742" s="145"/>
      <c r="T742" s="145"/>
      <c r="U742" s="145"/>
      <c r="V742" s="145"/>
      <c r="W742" s="145"/>
      <c r="X742" s="145"/>
      <c r="Y742" s="145"/>
      <c r="Z742" s="145"/>
    </row>
    <row r="743" spans="1:26" ht="15.75" x14ac:dyDescent="0.25">
      <c r="A743" s="145"/>
      <c r="B743" s="145"/>
      <c r="C743" s="145"/>
      <c r="D743" s="145"/>
      <c r="E743" s="145"/>
      <c r="F743" s="145"/>
      <c r="G743" s="145"/>
      <c r="H743" s="145"/>
      <c r="I743" s="145"/>
      <c r="J743" s="145"/>
      <c r="K743" s="145"/>
      <c r="L743" s="145"/>
      <c r="M743" s="145"/>
      <c r="N743" s="145"/>
      <c r="O743" s="145"/>
      <c r="P743" s="145"/>
      <c r="Q743" s="145"/>
      <c r="R743" s="145"/>
      <c r="S743" s="145"/>
      <c r="T743" s="145"/>
      <c r="U743" s="145"/>
      <c r="V743" s="145"/>
      <c r="W743" s="145"/>
      <c r="X743" s="145"/>
      <c r="Y743" s="145"/>
      <c r="Z743" s="145"/>
    </row>
    <row r="744" spans="1:26" ht="15.75" x14ac:dyDescent="0.25">
      <c r="A744" s="145"/>
      <c r="B744" s="145"/>
      <c r="C744" s="145"/>
      <c r="D744" s="145"/>
      <c r="E744" s="145"/>
      <c r="F744" s="145"/>
      <c r="G744" s="145"/>
      <c r="H744" s="145"/>
      <c r="I744" s="145"/>
      <c r="J744" s="145"/>
      <c r="K744" s="145"/>
      <c r="L744" s="145"/>
      <c r="M744" s="145"/>
      <c r="N744" s="145"/>
      <c r="O744" s="145"/>
      <c r="P744" s="145"/>
      <c r="Q744" s="145"/>
      <c r="R744" s="145"/>
      <c r="S744" s="145"/>
      <c r="T744" s="145"/>
      <c r="U744" s="145"/>
      <c r="V744" s="145"/>
      <c r="W744" s="145"/>
      <c r="X744" s="145"/>
      <c r="Y744" s="145"/>
      <c r="Z744" s="145"/>
    </row>
    <row r="745" spans="1:26" ht="15.75" x14ac:dyDescent="0.25">
      <c r="A745" s="145"/>
      <c r="B745" s="145"/>
      <c r="C745" s="145"/>
      <c r="D745" s="145"/>
      <c r="E745" s="145"/>
      <c r="F745" s="145"/>
      <c r="G745" s="145"/>
      <c r="H745" s="145"/>
      <c r="I745" s="145"/>
      <c r="J745" s="145"/>
      <c r="K745" s="145"/>
      <c r="L745" s="145"/>
      <c r="M745" s="145"/>
      <c r="N745" s="145"/>
      <c r="O745" s="145"/>
      <c r="P745" s="145"/>
      <c r="Q745" s="145"/>
      <c r="R745" s="145"/>
      <c r="S745" s="145"/>
      <c r="T745" s="145"/>
      <c r="U745" s="145"/>
      <c r="V745" s="145"/>
      <c r="W745" s="145"/>
      <c r="X745" s="145"/>
      <c r="Y745" s="145"/>
      <c r="Z745" s="145"/>
    </row>
    <row r="746" spans="1:26" ht="15.75" x14ac:dyDescent="0.25">
      <c r="A746" s="145"/>
      <c r="B746" s="145"/>
      <c r="C746" s="145"/>
      <c r="D746" s="145"/>
      <c r="E746" s="145"/>
      <c r="F746" s="145"/>
      <c r="G746" s="145"/>
      <c r="H746" s="145"/>
      <c r="I746" s="145"/>
      <c r="J746" s="145"/>
      <c r="K746" s="145"/>
      <c r="L746" s="145"/>
      <c r="M746" s="145"/>
      <c r="N746" s="145"/>
      <c r="O746" s="145"/>
      <c r="P746" s="145"/>
      <c r="Q746" s="145"/>
      <c r="R746" s="145"/>
      <c r="S746" s="145"/>
      <c r="T746" s="145"/>
      <c r="U746" s="145"/>
      <c r="V746" s="145"/>
      <c r="W746" s="145"/>
      <c r="X746" s="145"/>
      <c r="Y746" s="145"/>
      <c r="Z746" s="145"/>
    </row>
    <row r="747" spans="1:26" ht="15.75" x14ac:dyDescent="0.25">
      <c r="A747" s="145"/>
      <c r="B747" s="145"/>
      <c r="C747" s="145"/>
      <c r="D747" s="145"/>
      <c r="E747" s="145"/>
      <c r="F747" s="145"/>
      <c r="G747" s="145"/>
      <c r="H747" s="145"/>
      <c r="I747" s="145"/>
      <c r="J747" s="145"/>
      <c r="K747" s="145"/>
      <c r="L747" s="145"/>
      <c r="M747" s="145"/>
      <c r="N747" s="145"/>
      <c r="O747" s="145"/>
      <c r="P747" s="145"/>
      <c r="Q747" s="145"/>
      <c r="R747" s="145"/>
      <c r="S747" s="145"/>
      <c r="T747" s="145"/>
      <c r="U747" s="145"/>
      <c r="V747" s="145"/>
      <c r="W747" s="145"/>
      <c r="X747" s="145"/>
      <c r="Y747" s="145"/>
      <c r="Z747" s="145"/>
    </row>
    <row r="748" spans="1:26" ht="15.75" x14ac:dyDescent="0.25">
      <c r="A748" s="145"/>
      <c r="B748" s="145"/>
      <c r="C748" s="145"/>
      <c r="D748" s="145"/>
      <c r="E748" s="145"/>
      <c r="F748" s="145"/>
      <c r="G748" s="145"/>
      <c r="H748" s="145"/>
      <c r="I748" s="145"/>
      <c r="J748" s="145"/>
      <c r="K748" s="145"/>
      <c r="L748" s="145"/>
      <c r="M748" s="145"/>
      <c r="N748" s="145"/>
      <c r="O748" s="145"/>
      <c r="P748" s="145"/>
      <c r="Q748" s="145"/>
      <c r="R748" s="145"/>
      <c r="S748" s="145"/>
      <c r="T748" s="145"/>
      <c r="U748" s="145"/>
      <c r="V748" s="145"/>
      <c r="W748" s="145"/>
      <c r="X748" s="145"/>
      <c r="Y748" s="145"/>
      <c r="Z748" s="145"/>
    </row>
    <row r="749" spans="1:26" ht="15.75" x14ac:dyDescent="0.25">
      <c r="A749" s="145"/>
      <c r="B749" s="145"/>
      <c r="C749" s="145"/>
      <c r="D749" s="145"/>
      <c r="E749" s="145"/>
      <c r="F749" s="145"/>
      <c r="G749" s="145"/>
      <c r="H749" s="145"/>
      <c r="I749" s="145"/>
      <c r="J749" s="145"/>
      <c r="K749" s="145"/>
      <c r="L749" s="145"/>
      <c r="M749" s="145"/>
      <c r="N749" s="145"/>
      <c r="O749" s="145"/>
      <c r="P749" s="145"/>
      <c r="Q749" s="145"/>
      <c r="R749" s="145"/>
      <c r="S749" s="145"/>
      <c r="T749" s="145"/>
      <c r="U749" s="145"/>
      <c r="V749" s="145"/>
      <c r="W749" s="145"/>
      <c r="X749" s="145"/>
      <c r="Y749" s="145"/>
      <c r="Z749" s="145"/>
    </row>
    <row r="750" spans="1:26" ht="15.75" x14ac:dyDescent="0.25">
      <c r="A750" s="145"/>
      <c r="B750" s="145"/>
      <c r="C750" s="145"/>
      <c r="D750" s="145"/>
      <c r="E750" s="145"/>
      <c r="F750" s="145"/>
      <c r="G750" s="145"/>
      <c r="H750" s="145"/>
      <c r="I750" s="145"/>
      <c r="J750" s="145"/>
      <c r="K750" s="145"/>
      <c r="L750" s="145"/>
      <c r="M750" s="145"/>
      <c r="N750" s="145"/>
      <c r="O750" s="145"/>
      <c r="P750" s="145"/>
      <c r="Q750" s="145"/>
      <c r="R750" s="145"/>
      <c r="S750" s="145"/>
      <c r="T750" s="145"/>
      <c r="U750" s="145"/>
      <c r="V750" s="145"/>
      <c r="W750" s="145"/>
      <c r="X750" s="145"/>
      <c r="Y750" s="145"/>
      <c r="Z750" s="145"/>
    </row>
    <row r="751" spans="1:26" ht="15.75" x14ac:dyDescent="0.25">
      <c r="A751" s="145"/>
      <c r="B751" s="145"/>
      <c r="C751" s="145"/>
      <c r="D751" s="145"/>
      <c r="E751" s="145"/>
      <c r="F751" s="145"/>
      <c r="G751" s="145"/>
      <c r="H751" s="145"/>
      <c r="I751" s="145"/>
      <c r="J751" s="145"/>
      <c r="K751" s="145"/>
      <c r="L751" s="145"/>
      <c r="M751" s="145"/>
      <c r="N751" s="145"/>
      <c r="O751" s="145"/>
      <c r="P751" s="145"/>
      <c r="Q751" s="145"/>
      <c r="R751" s="145"/>
      <c r="S751" s="145"/>
      <c r="T751" s="145"/>
      <c r="U751" s="145"/>
      <c r="V751" s="145"/>
      <c r="W751" s="145"/>
      <c r="X751" s="145"/>
      <c r="Y751" s="145"/>
      <c r="Z751" s="145"/>
    </row>
    <row r="752" spans="1:26" ht="15.75" x14ac:dyDescent="0.25">
      <c r="A752" s="145"/>
      <c r="B752" s="145"/>
      <c r="C752" s="145"/>
      <c r="D752" s="145"/>
      <c r="E752" s="145"/>
      <c r="F752" s="145"/>
      <c r="G752" s="145"/>
      <c r="H752" s="145"/>
      <c r="I752" s="145"/>
      <c r="J752" s="145"/>
      <c r="K752" s="145"/>
      <c r="L752" s="145"/>
      <c r="M752" s="145"/>
      <c r="N752" s="145"/>
      <c r="O752" s="145"/>
      <c r="P752" s="145"/>
      <c r="Q752" s="145"/>
      <c r="R752" s="145"/>
      <c r="S752" s="145"/>
      <c r="T752" s="145"/>
      <c r="U752" s="145"/>
      <c r="V752" s="145"/>
      <c r="W752" s="145"/>
      <c r="X752" s="145"/>
      <c r="Y752" s="145"/>
      <c r="Z752" s="145"/>
    </row>
    <row r="753" spans="1:26" ht="15.75" x14ac:dyDescent="0.25">
      <c r="A753" s="145"/>
      <c r="B753" s="145"/>
      <c r="C753" s="145"/>
      <c r="D753" s="145"/>
      <c r="E753" s="145"/>
      <c r="F753" s="145"/>
      <c r="G753" s="145"/>
      <c r="H753" s="145"/>
      <c r="I753" s="145"/>
      <c r="J753" s="145"/>
      <c r="K753" s="145"/>
      <c r="L753" s="145"/>
      <c r="M753" s="145"/>
      <c r="N753" s="145"/>
      <c r="O753" s="145"/>
      <c r="P753" s="145"/>
      <c r="Q753" s="145"/>
      <c r="R753" s="145"/>
      <c r="S753" s="145"/>
      <c r="T753" s="145"/>
      <c r="U753" s="145"/>
      <c r="V753" s="145"/>
      <c r="W753" s="145"/>
      <c r="X753" s="145"/>
      <c r="Y753" s="145"/>
      <c r="Z753" s="145"/>
    </row>
    <row r="754" spans="1:26" ht="15.75" x14ac:dyDescent="0.25">
      <c r="A754" s="145"/>
      <c r="B754" s="145"/>
      <c r="C754" s="145"/>
      <c r="D754" s="145"/>
      <c r="E754" s="145"/>
      <c r="F754" s="145"/>
      <c r="G754" s="145"/>
      <c r="H754" s="145"/>
      <c r="I754" s="145"/>
      <c r="J754" s="145"/>
      <c r="K754" s="145"/>
      <c r="L754" s="145"/>
      <c r="M754" s="145"/>
      <c r="N754" s="145"/>
      <c r="O754" s="145"/>
      <c r="P754" s="145"/>
      <c r="Q754" s="145"/>
      <c r="R754" s="145"/>
      <c r="S754" s="145"/>
      <c r="T754" s="145"/>
      <c r="U754" s="145"/>
      <c r="V754" s="145"/>
      <c r="W754" s="145"/>
      <c r="X754" s="145"/>
      <c r="Y754" s="145"/>
      <c r="Z754" s="145"/>
    </row>
    <row r="755" spans="1:26" ht="15.75" x14ac:dyDescent="0.25">
      <c r="A755" s="145"/>
      <c r="B755" s="145"/>
      <c r="C755" s="145"/>
      <c r="D755" s="145"/>
      <c r="E755" s="145"/>
      <c r="F755" s="145"/>
      <c r="G755" s="145"/>
      <c r="H755" s="145"/>
      <c r="I755" s="145"/>
      <c r="J755" s="145"/>
      <c r="K755" s="145"/>
      <c r="L755" s="145"/>
      <c r="M755" s="145"/>
      <c r="N755" s="145"/>
      <c r="O755" s="145"/>
      <c r="P755" s="145"/>
      <c r="Q755" s="145"/>
      <c r="R755" s="145"/>
      <c r="S755" s="145"/>
      <c r="T755" s="145"/>
      <c r="U755" s="145"/>
      <c r="V755" s="145"/>
      <c r="W755" s="145"/>
      <c r="X755" s="145"/>
      <c r="Y755" s="145"/>
      <c r="Z755" s="145"/>
    </row>
    <row r="756" spans="1:26" ht="15.75" x14ac:dyDescent="0.25">
      <c r="A756" s="145"/>
      <c r="B756" s="145"/>
      <c r="C756" s="145"/>
      <c r="D756" s="145"/>
      <c r="E756" s="145"/>
      <c r="F756" s="145"/>
      <c r="G756" s="145"/>
      <c r="H756" s="145"/>
      <c r="I756" s="145"/>
      <c r="J756" s="145"/>
      <c r="K756" s="145"/>
      <c r="L756" s="145"/>
      <c r="M756" s="145"/>
      <c r="N756" s="145"/>
      <c r="O756" s="145"/>
      <c r="P756" s="145"/>
      <c r="Q756" s="145"/>
      <c r="R756" s="145"/>
      <c r="S756" s="145"/>
      <c r="T756" s="145"/>
      <c r="U756" s="145"/>
      <c r="V756" s="145"/>
      <c r="W756" s="145"/>
      <c r="X756" s="145"/>
      <c r="Y756" s="145"/>
      <c r="Z756" s="145"/>
    </row>
    <row r="757" spans="1:26" ht="15.75" x14ac:dyDescent="0.25">
      <c r="A757" s="145"/>
      <c r="B757" s="145"/>
      <c r="C757" s="145"/>
      <c r="D757" s="145"/>
      <c r="E757" s="145"/>
      <c r="F757" s="145"/>
      <c r="G757" s="145"/>
      <c r="H757" s="145"/>
      <c r="I757" s="145"/>
      <c r="J757" s="145"/>
      <c r="K757" s="145"/>
      <c r="L757" s="145"/>
      <c r="M757" s="145"/>
      <c r="N757" s="145"/>
      <c r="O757" s="145"/>
      <c r="P757" s="145"/>
      <c r="Q757" s="145"/>
      <c r="R757" s="145"/>
      <c r="S757" s="145"/>
      <c r="T757" s="145"/>
      <c r="U757" s="145"/>
      <c r="V757" s="145"/>
      <c r="W757" s="145"/>
      <c r="X757" s="145"/>
      <c r="Y757" s="145"/>
      <c r="Z757" s="145"/>
    </row>
    <row r="758" spans="1:26" ht="15.75" x14ac:dyDescent="0.25">
      <c r="A758" s="145"/>
      <c r="B758" s="145"/>
      <c r="C758" s="145"/>
      <c r="D758" s="145"/>
      <c r="E758" s="145"/>
      <c r="F758" s="145"/>
      <c r="G758" s="145"/>
      <c r="H758" s="145"/>
      <c r="I758" s="145"/>
      <c r="J758" s="145"/>
      <c r="K758" s="145"/>
      <c r="L758" s="145"/>
      <c r="M758" s="145"/>
      <c r="N758" s="145"/>
      <c r="O758" s="145"/>
      <c r="P758" s="145"/>
      <c r="Q758" s="145"/>
      <c r="R758" s="145"/>
      <c r="S758" s="145"/>
      <c r="T758" s="145"/>
      <c r="U758" s="145"/>
      <c r="V758" s="145"/>
      <c r="W758" s="145"/>
      <c r="X758" s="145"/>
      <c r="Y758" s="145"/>
      <c r="Z758" s="145"/>
    </row>
    <row r="759" spans="1:26" ht="15.75" x14ac:dyDescent="0.25">
      <c r="A759" s="145"/>
      <c r="B759" s="145"/>
      <c r="C759" s="145"/>
      <c r="D759" s="145"/>
      <c r="E759" s="145"/>
      <c r="F759" s="145"/>
      <c r="G759" s="145"/>
      <c r="H759" s="145"/>
      <c r="I759" s="145"/>
      <c r="J759" s="145"/>
      <c r="K759" s="145"/>
      <c r="L759" s="145"/>
      <c r="M759" s="145"/>
      <c r="N759" s="145"/>
      <c r="O759" s="145"/>
      <c r="P759" s="145"/>
      <c r="Q759" s="145"/>
      <c r="R759" s="145"/>
      <c r="S759" s="145"/>
      <c r="T759" s="145"/>
      <c r="U759" s="145"/>
      <c r="V759" s="145"/>
      <c r="W759" s="145"/>
      <c r="X759" s="145"/>
      <c r="Y759" s="145"/>
      <c r="Z759" s="145"/>
    </row>
    <row r="760" spans="1:26" ht="15.75" x14ac:dyDescent="0.25">
      <c r="A760" s="145"/>
      <c r="B760" s="145"/>
      <c r="C760" s="145"/>
      <c r="D760" s="145"/>
      <c r="E760" s="145"/>
      <c r="F760" s="145"/>
      <c r="G760" s="145"/>
      <c r="H760" s="145"/>
      <c r="I760" s="145"/>
      <c r="J760" s="145"/>
      <c r="K760" s="145"/>
      <c r="L760" s="145"/>
      <c r="M760" s="145"/>
      <c r="N760" s="145"/>
      <c r="O760" s="145"/>
      <c r="P760" s="145"/>
      <c r="Q760" s="145"/>
      <c r="R760" s="145"/>
      <c r="S760" s="145"/>
      <c r="T760" s="145"/>
      <c r="U760" s="145"/>
      <c r="V760" s="145"/>
      <c r="W760" s="145"/>
      <c r="X760" s="145"/>
      <c r="Y760" s="145"/>
      <c r="Z760" s="145"/>
    </row>
    <row r="761" spans="1:26" ht="15.75" x14ac:dyDescent="0.25">
      <c r="A761" s="145"/>
      <c r="B761" s="145"/>
      <c r="C761" s="145"/>
      <c r="D761" s="145"/>
      <c r="E761" s="145"/>
      <c r="F761" s="145"/>
      <c r="G761" s="145"/>
      <c r="H761" s="145"/>
      <c r="I761" s="145"/>
      <c r="J761" s="145"/>
      <c r="K761" s="145"/>
      <c r="L761" s="145"/>
      <c r="M761" s="145"/>
      <c r="N761" s="145"/>
      <c r="O761" s="145"/>
      <c r="P761" s="145"/>
      <c r="Q761" s="145"/>
      <c r="R761" s="145"/>
      <c r="S761" s="145"/>
      <c r="T761" s="145"/>
      <c r="U761" s="145"/>
      <c r="V761" s="145"/>
      <c r="W761" s="145"/>
      <c r="X761" s="145"/>
      <c r="Y761" s="145"/>
      <c r="Z761" s="145"/>
    </row>
    <row r="762" spans="1:26" ht="15.75" x14ac:dyDescent="0.25">
      <c r="A762" s="145"/>
      <c r="B762" s="145"/>
      <c r="C762" s="145"/>
      <c r="D762" s="145"/>
      <c r="E762" s="145"/>
      <c r="F762" s="145"/>
      <c r="G762" s="145"/>
      <c r="H762" s="145"/>
      <c r="I762" s="145"/>
      <c r="J762" s="145"/>
      <c r="K762" s="145"/>
      <c r="L762" s="145"/>
      <c r="M762" s="145"/>
      <c r="N762" s="145"/>
      <c r="O762" s="145"/>
      <c r="P762" s="145"/>
      <c r="Q762" s="145"/>
      <c r="R762" s="145"/>
      <c r="S762" s="145"/>
      <c r="T762" s="145"/>
      <c r="U762" s="145"/>
      <c r="V762" s="145"/>
      <c r="W762" s="145"/>
      <c r="X762" s="145"/>
      <c r="Y762" s="145"/>
      <c r="Z762" s="145"/>
    </row>
    <row r="763" spans="1:26" ht="15.75" x14ac:dyDescent="0.25">
      <c r="A763" s="145"/>
      <c r="B763" s="145"/>
      <c r="C763" s="145"/>
      <c r="D763" s="145"/>
      <c r="E763" s="145"/>
      <c r="F763" s="145"/>
      <c r="G763" s="145"/>
      <c r="H763" s="145"/>
      <c r="I763" s="145"/>
      <c r="J763" s="145"/>
      <c r="K763" s="145"/>
      <c r="L763" s="145"/>
      <c r="M763" s="145"/>
      <c r="N763" s="145"/>
      <c r="O763" s="145"/>
      <c r="P763" s="145"/>
      <c r="Q763" s="145"/>
      <c r="R763" s="145"/>
      <c r="S763" s="145"/>
      <c r="T763" s="145"/>
      <c r="U763" s="145"/>
      <c r="V763" s="145"/>
      <c r="W763" s="145"/>
      <c r="X763" s="145"/>
      <c r="Y763" s="145"/>
      <c r="Z763" s="145"/>
    </row>
    <row r="764" spans="1:26" ht="15.75" x14ac:dyDescent="0.25">
      <c r="A764" s="145"/>
      <c r="B764" s="145"/>
      <c r="C764" s="145"/>
      <c r="D764" s="145"/>
      <c r="E764" s="145"/>
      <c r="F764" s="145"/>
      <c r="G764" s="145"/>
      <c r="H764" s="145"/>
      <c r="I764" s="145"/>
      <c r="J764" s="145"/>
      <c r="K764" s="145"/>
      <c r="L764" s="145"/>
      <c r="M764" s="145"/>
      <c r="N764" s="145"/>
      <c r="O764" s="145"/>
      <c r="P764" s="145"/>
      <c r="Q764" s="145"/>
      <c r="R764" s="145"/>
      <c r="S764" s="145"/>
      <c r="T764" s="145"/>
      <c r="U764" s="145"/>
      <c r="V764" s="145"/>
      <c r="W764" s="145"/>
      <c r="X764" s="145"/>
      <c r="Y764" s="145"/>
      <c r="Z764" s="145"/>
    </row>
    <row r="765" spans="1:26" ht="15.75" x14ac:dyDescent="0.25">
      <c r="A765" s="145"/>
      <c r="B765" s="145"/>
      <c r="C765" s="145"/>
      <c r="D765" s="145"/>
      <c r="E765" s="145"/>
      <c r="F765" s="145"/>
      <c r="G765" s="145"/>
      <c r="H765" s="145"/>
      <c r="I765" s="145"/>
      <c r="J765" s="145"/>
      <c r="K765" s="145"/>
      <c r="L765" s="145"/>
      <c r="M765" s="145"/>
      <c r="N765" s="145"/>
      <c r="O765" s="145"/>
      <c r="P765" s="145"/>
      <c r="Q765" s="145"/>
      <c r="R765" s="145"/>
      <c r="S765" s="145"/>
      <c r="T765" s="145"/>
      <c r="U765" s="145"/>
      <c r="V765" s="145"/>
      <c r="W765" s="145"/>
      <c r="X765" s="145"/>
      <c r="Y765" s="145"/>
      <c r="Z765" s="145"/>
    </row>
    <row r="766" spans="1:26" ht="15.75" x14ac:dyDescent="0.25">
      <c r="A766" s="145"/>
      <c r="B766" s="145"/>
      <c r="C766" s="145"/>
      <c r="D766" s="145"/>
      <c r="E766" s="145"/>
      <c r="F766" s="145"/>
      <c r="G766" s="145"/>
      <c r="H766" s="145"/>
      <c r="I766" s="145"/>
      <c r="J766" s="145"/>
      <c r="K766" s="145"/>
      <c r="L766" s="145"/>
      <c r="M766" s="145"/>
      <c r="N766" s="145"/>
      <c r="O766" s="145"/>
      <c r="P766" s="145"/>
      <c r="Q766" s="145"/>
      <c r="R766" s="145"/>
      <c r="S766" s="145"/>
      <c r="T766" s="145"/>
      <c r="U766" s="145"/>
      <c r="V766" s="145"/>
      <c r="W766" s="145"/>
      <c r="X766" s="145"/>
      <c r="Y766" s="145"/>
      <c r="Z766" s="145"/>
    </row>
    <row r="767" spans="1:26" ht="15.75" x14ac:dyDescent="0.25">
      <c r="A767" s="145"/>
      <c r="B767" s="145"/>
      <c r="C767" s="145"/>
      <c r="D767" s="145"/>
      <c r="E767" s="145"/>
      <c r="F767" s="145"/>
      <c r="G767" s="145"/>
      <c r="H767" s="145"/>
      <c r="I767" s="145"/>
      <c r="J767" s="145"/>
      <c r="K767" s="145"/>
      <c r="L767" s="145"/>
      <c r="M767" s="145"/>
      <c r="N767" s="145"/>
      <c r="O767" s="145"/>
      <c r="P767" s="145"/>
      <c r="Q767" s="145"/>
      <c r="R767" s="145"/>
      <c r="S767" s="145"/>
      <c r="T767" s="145"/>
      <c r="U767" s="145"/>
      <c r="V767" s="145"/>
      <c r="W767" s="145"/>
      <c r="X767" s="145"/>
      <c r="Y767" s="145"/>
      <c r="Z767" s="145"/>
    </row>
    <row r="768" spans="1:26" ht="15.75" x14ac:dyDescent="0.25">
      <c r="A768" s="145"/>
      <c r="B768" s="145"/>
      <c r="C768" s="145"/>
      <c r="D768" s="145"/>
      <c r="E768" s="145"/>
      <c r="F768" s="145"/>
      <c r="G768" s="145"/>
      <c r="H768" s="145"/>
      <c r="I768" s="145"/>
      <c r="J768" s="145"/>
      <c r="K768" s="145"/>
      <c r="L768" s="145"/>
      <c r="M768" s="145"/>
      <c r="N768" s="145"/>
      <c r="O768" s="145"/>
      <c r="P768" s="145"/>
      <c r="Q768" s="145"/>
      <c r="R768" s="145"/>
      <c r="S768" s="145"/>
      <c r="T768" s="145"/>
      <c r="U768" s="145"/>
      <c r="V768" s="145"/>
      <c r="W768" s="145"/>
      <c r="X768" s="145"/>
      <c r="Y768" s="145"/>
      <c r="Z768" s="145"/>
    </row>
    <row r="769" spans="1:26" ht="15.75" x14ac:dyDescent="0.25">
      <c r="A769" s="145"/>
      <c r="B769" s="145"/>
      <c r="C769" s="145"/>
      <c r="D769" s="145"/>
      <c r="E769" s="145"/>
      <c r="F769" s="145"/>
      <c r="G769" s="145"/>
      <c r="H769" s="145"/>
      <c r="I769" s="145"/>
      <c r="J769" s="145"/>
      <c r="K769" s="145"/>
      <c r="L769" s="145"/>
      <c r="M769" s="145"/>
      <c r="N769" s="145"/>
      <c r="O769" s="145"/>
      <c r="P769" s="145"/>
      <c r="Q769" s="145"/>
      <c r="R769" s="145"/>
      <c r="S769" s="145"/>
      <c r="T769" s="145"/>
      <c r="U769" s="145"/>
      <c r="V769" s="145"/>
      <c r="W769" s="145"/>
      <c r="X769" s="145"/>
      <c r="Y769" s="145"/>
      <c r="Z769" s="145"/>
    </row>
    <row r="770" spans="1:26" ht="15.75" x14ac:dyDescent="0.25">
      <c r="A770" s="145"/>
      <c r="B770" s="145"/>
      <c r="C770" s="145"/>
      <c r="D770" s="145"/>
      <c r="E770" s="145"/>
      <c r="F770" s="145"/>
      <c r="G770" s="145"/>
      <c r="H770" s="145"/>
      <c r="I770" s="145"/>
      <c r="J770" s="145"/>
      <c r="K770" s="145"/>
      <c r="L770" s="145"/>
      <c r="M770" s="145"/>
      <c r="N770" s="145"/>
      <c r="O770" s="145"/>
      <c r="P770" s="145"/>
      <c r="Q770" s="145"/>
      <c r="R770" s="145"/>
      <c r="S770" s="145"/>
      <c r="T770" s="145"/>
      <c r="U770" s="145"/>
      <c r="V770" s="145"/>
      <c r="W770" s="145"/>
      <c r="X770" s="145"/>
      <c r="Y770" s="145"/>
      <c r="Z770" s="145"/>
    </row>
    <row r="771" spans="1:26" ht="15.75" x14ac:dyDescent="0.25">
      <c r="A771" s="145"/>
      <c r="B771" s="145"/>
      <c r="C771" s="145"/>
      <c r="D771" s="145"/>
      <c r="E771" s="145"/>
      <c r="F771" s="145"/>
      <c r="G771" s="145"/>
      <c r="H771" s="145"/>
      <c r="I771" s="145"/>
      <c r="J771" s="145"/>
      <c r="K771" s="145"/>
      <c r="L771" s="145"/>
      <c r="M771" s="145"/>
      <c r="N771" s="145"/>
      <c r="O771" s="145"/>
      <c r="P771" s="145"/>
      <c r="Q771" s="145"/>
      <c r="R771" s="145"/>
      <c r="S771" s="145"/>
      <c r="T771" s="145"/>
      <c r="U771" s="145"/>
      <c r="V771" s="145"/>
      <c r="W771" s="145"/>
      <c r="X771" s="145"/>
      <c r="Y771" s="145"/>
      <c r="Z771" s="145"/>
    </row>
    <row r="772" spans="1:26" ht="15.75" x14ac:dyDescent="0.25">
      <c r="A772" s="145"/>
      <c r="B772" s="145"/>
      <c r="C772" s="145"/>
      <c r="D772" s="145"/>
      <c r="E772" s="145"/>
      <c r="F772" s="145"/>
      <c r="G772" s="145"/>
      <c r="H772" s="145"/>
      <c r="I772" s="145"/>
      <c r="J772" s="145"/>
      <c r="K772" s="145"/>
      <c r="L772" s="145"/>
      <c r="M772" s="145"/>
      <c r="N772" s="145"/>
      <c r="O772" s="145"/>
      <c r="P772" s="145"/>
      <c r="Q772" s="145"/>
      <c r="R772" s="145"/>
      <c r="S772" s="145"/>
      <c r="T772" s="145"/>
      <c r="U772" s="145"/>
      <c r="V772" s="145"/>
      <c r="W772" s="145"/>
      <c r="X772" s="145"/>
      <c r="Y772" s="145"/>
      <c r="Z772" s="145"/>
    </row>
    <row r="773" spans="1:26" ht="15.75" x14ac:dyDescent="0.25">
      <c r="A773" s="145"/>
      <c r="B773" s="145"/>
      <c r="C773" s="145"/>
      <c r="D773" s="145"/>
      <c r="E773" s="145"/>
      <c r="F773" s="145"/>
      <c r="G773" s="145"/>
      <c r="H773" s="145"/>
      <c r="I773" s="145"/>
      <c r="J773" s="145"/>
      <c r="K773" s="145"/>
      <c r="L773" s="145"/>
      <c r="M773" s="145"/>
      <c r="N773" s="145"/>
      <c r="O773" s="145"/>
      <c r="P773" s="145"/>
      <c r="Q773" s="145"/>
      <c r="R773" s="145"/>
      <c r="S773" s="145"/>
      <c r="T773" s="145"/>
      <c r="U773" s="145"/>
      <c r="V773" s="145"/>
      <c r="W773" s="145"/>
      <c r="X773" s="145"/>
      <c r="Y773" s="145"/>
      <c r="Z773" s="145"/>
    </row>
    <row r="774" spans="1:26" ht="15.75" x14ac:dyDescent="0.25">
      <c r="A774" s="145"/>
      <c r="B774" s="145"/>
      <c r="C774" s="145"/>
      <c r="D774" s="145"/>
      <c r="E774" s="145"/>
      <c r="F774" s="145"/>
      <c r="G774" s="145"/>
      <c r="H774" s="145"/>
      <c r="I774" s="145"/>
      <c r="J774" s="145"/>
      <c r="K774" s="145"/>
      <c r="L774" s="145"/>
      <c r="M774" s="145"/>
      <c r="N774" s="145"/>
      <c r="O774" s="145"/>
      <c r="P774" s="145"/>
      <c r="Q774" s="145"/>
      <c r="R774" s="145"/>
      <c r="S774" s="145"/>
      <c r="T774" s="145"/>
      <c r="U774" s="145"/>
      <c r="V774" s="145"/>
      <c r="W774" s="145"/>
      <c r="X774" s="145"/>
      <c r="Y774" s="145"/>
      <c r="Z774" s="145"/>
    </row>
    <row r="775" spans="1:26" ht="15.75" x14ac:dyDescent="0.25">
      <c r="A775" s="145"/>
      <c r="B775" s="145"/>
      <c r="C775" s="145"/>
      <c r="D775" s="145"/>
      <c r="E775" s="145"/>
      <c r="F775" s="145"/>
      <c r="G775" s="145"/>
      <c r="H775" s="145"/>
      <c r="I775" s="145"/>
      <c r="J775" s="145"/>
      <c r="K775" s="145"/>
      <c r="L775" s="145"/>
      <c r="M775" s="145"/>
      <c r="N775" s="145"/>
      <c r="O775" s="145"/>
      <c r="P775" s="145"/>
      <c r="Q775" s="145"/>
      <c r="R775" s="145"/>
      <c r="S775" s="145"/>
      <c r="T775" s="145"/>
      <c r="U775" s="145"/>
      <c r="V775" s="145"/>
      <c r="W775" s="145"/>
      <c r="X775" s="145"/>
      <c r="Y775" s="145"/>
      <c r="Z775" s="145"/>
    </row>
    <row r="776" spans="1:26" ht="15.75" x14ac:dyDescent="0.25">
      <c r="A776" s="145"/>
      <c r="B776" s="145"/>
      <c r="C776" s="145"/>
      <c r="D776" s="145"/>
      <c r="E776" s="145"/>
      <c r="F776" s="145"/>
      <c r="G776" s="145"/>
      <c r="H776" s="145"/>
      <c r="I776" s="145"/>
      <c r="J776" s="145"/>
      <c r="K776" s="145"/>
      <c r="L776" s="145"/>
      <c r="M776" s="145"/>
      <c r="N776" s="145"/>
      <c r="O776" s="145"/>
      <c r="P776" s="145"/>
      <c r="Q776" s="145"/>
      <c r="R776" s="145"/>
      <c r="S776" s="145"/>
      <c r="T776" s="145"/>
      <c r="U776" s="145"/>
      <c r="V776" s="145"/>
      <c r="W776" s="145"/>
      <c r="X776" s="145"/>
      <c r="Y776" s="145"/>
      <c r="Z776" s="145"/>
    </row>
    <row r="777" spans="1:26" ht="15.75" x14ac:dyDescent="0.25">
      <c r="A777" s="145"/>
      <c r="B777" s="145"/>
      <c r="C777" s="145"/>
      <c r="D777" s="145"/>
      <c r="E777" s="145"/>
      <c r="F777" s="145"/>
      <c r="G777" s="145"/>
      <c r="H777" s="145"/>
      <c r="I777" s="145"/>
      <c r="J777" s="145"/>
      <c r="K777" s="145"/>
      <c r="L777" s="145"/>
      <c r="M777" s="145"/>
      <c r="N777" s="145"/>
      <c r="O777" s="145"/>
      <c r="P777" s="145"/>
      <c r="Q777" s="145"/>
      <c r="R777" s="145"/>
      <c r="S777" s="145"/>
      <c r="T777" s="145"/>
      <c r="U777" s="145"/>
      <c r="V777" s="145"/>
      <c r="W777" s="145"/>
      <c r="X777" s="145"/>
      <c r="Y777" s="145"/>
      <c r="Z777" s="145"/>
    </row>
    <row r="778" spans="1:26" ht="15.75" x14ac:dyDescent="0.25">
      <c r="A778" s="145"/>
      <c r="B778" s="145"/>
      <c r="C778" s="145"/>
      <c r="D778" s="145"/>
      <c r="E778" s="145"/>
      <c r="F778" s="145"/>
      <c r="G778" s="145"/>
      <c r="H778" s="145"/>
      <c r="I778" s="145"/>
      <c r="J778" s="145"/>
      <c r="K778" s="145"/>
      <c r="L778" s="145"/>
      <c r="M778" s="145"/>
      <c r="N778" s="145"/>
      <c r="O778" s="145"/>
      <c r="P778" s="145"/>
      <c r="Q778" s="145"/>
      <c r="R778" s="145"/>
      <c r="S778" s="145"/>
      <c r="T778" s="145"/>
      <c r="U778" s="145"/>
      <c r="V778" s="145"/>
      <c r="W778" s="145"/>
      <c r="X778" s="145"/>
      <c r="Y778" s="145"/>
      <c r="Z778" s="145"/>
    </row>
    <row r="779" spans="1:26" ht="15.75" x14ac:dyDescent="0.25">
      <c r="A779" s="145"/>
      <c r="B779" s="145"/>
      <c r="C779" s="145"/>
      <c r="D779" s="145"/>
      <c r="E779" s="145"/>
      <c r="F779" s="145"/>
      <c r="G779" s="145"/>
      <c r="H779" s="145"/>
      <c r="I779" s="145"/>
      <c r="J779" s="145"/>
      <c r="K779" s="145"/>
      <c r="L779" s="145"/>
      <c r="M779" s="145"/>
      <c r="N779" s="145"/>
      <c r="O779" s="145"/>
      <c r="P779" s="145"/>
      <c r="Q779" s="145"/>
      <c r="R779" s="145"/>
      <c r="S779" s="145"/>
      <c r="T779" s="145"/>
      <c r="U779" s="145"/>
      <c r="V779" s="145"/>
      <c r="W779" s="145"/>
      <c r="X779" s="145"/>
      <c r="Y779" s="145"/>
      <c r="Z779" s="145"/>
    </row>
    <row r="780" spans="1:26" ht="15.75" x14ac:dyDescent="0.25">
      <c r="A780" s="145"/>
      <c r="B780" s="145"/>
      <c r="C780" s="145"/>
      <c r="D780" s="145"/>
      <c r="E780" s="145"/>
      <c r="F780" s="145"/>
      <c r="G780" s="145"/>
      <c r="H780" s="145"/>
      <c r="I780" s="145"/>
      <c r="J780" s="145"/>
      <c r="K780" s="145"/>
      <c r="L780" s="145"/>
      <c r="M780" s="145"/>
      <c r="N780" s="145"/>
      <c r="O780" s="145"/>
      <c r="P780" s="145"/>
      <c r="Q780" s="145"/>
      <c r="R780" s="145"/>
      <c r="S780" s="145"/>
      <c r="T780" s="145"/>
      <c r="U780" s="145"/>
      <c r="V780" s="145"/>
      <c r="W780" s="145"/>
      <c r="X780" s="145"/>
      <c r="Y780" s="145"/>
      <c r="Z780" s="145"/>
    </row>
    <row r="781" spans="1:26" ht="15.75" x14ac:dyDescent="0.25">
      <c r="A781" s="145"/>
      <c r="B781" s="145"/>
      <c r="C781" s="145"/>
      <c r="D781" s="145"/>
      <c r="E781" s="145"/>
      <c r="F781" s="145"/>
      <c r="G781" s="145"/>
      <c r="H781" s="145"/>
      <c r="I781" s="145"/>
      <c r="J781" s="145"/>
      <c r="K781" s="145"/>
      <c r="L781" s="145"/>
      <c r="M781" s="145"/>
      <c r="N781" s="145"/>
      <c r="O781" s="145"/>
      <c r="P781" s="145"/>
      <c r="Q781" s="145"/>
      <c r="R781" s="145"/>
      <c r="S781" s="145"/>
      <c r="T781" s="145"/>
      <c r="U781" s="145"/>
      <c r="V781" s="145"/>
      <c r="W781" s="145"/>
      <c r="X781" s="145"/>
      <c r="Y781" s="145"/>
      <c r="Z781" s="145"/>
    </row>
    <row r="782" spans="1:26" ht="15.75" x14ac:dyDescent="0.25">
      <c r="A782" s="145"/>
      <c r="B782" s="145"/>
      <c r="C782" s="145"/>
      <c r="D782" s="145"/>
      <c r="E782" s="145"/>
      <c r="F782" s="145"/>
      <c r="G782" s="145"/>
      <c r="H782" s="145"/>
      <c r="I782" s="145"/>
      <c r="J782" s="145"/>
      <c r="K782" s="145"/>
      <c r="L782" s="145"/>
      <c r="M782" s="145"/>
      <c r="N782" s="145"/>
      <c r="O782" s="145"/>
      <c r="P782" s="145"/>
      <c r="Q782" s="145"/>
      <c r="R782" s="145"/>
      <c r="S782" s="145"/>
      <c r="T782" s="145"/>
      <c r="U782" s="145"/>
      <c r="V782" s="145"/>
      <c r="W782" s="145"/>
      <c r="X782" s="145"/>
      <c r="Y782" s="145"/>
      <c r="Z782" s="145"/>
    </row>
    <row r="783" spans="1:26" ht="15.75" x14ac:dyDescent="0.25">
      <c r="A783" s="145"/>
      <c r="B783" s="145"/>
      <c r="C783" s="145"/>
      <c r="D783" s="145"/>
      <c r="E783" s="145"/>
      <c r="F783" s="145"/>
      <c r="G783" s="145"/>
      <c r="H783" s="145"/>
      <c r="I783" s="145"/>
      <c r="J783" s="145"/>
      <c r="K783" s="145"/>
      <c r="L783" s="145"/>
      <c r="M783" s="145"/>
      <c r="N783" s="145"/>
      <c r="O783" s="145"/>
      <c r="P783" s="145"/>
      <c r="Q783" s="145"/>
      <c r="R783" s="145"/>
      <c r="S783" s="145"/>
      <c r="T783" s="145"/>
      <c r="U783" s="145"/>
      <c r="V783" s="145"/>
      <c r="W783" s="145"/>
      <c r="X783" s="145"/>
      <c r="Y783" s="145"/>
      <c r="Z783" s="145"/>
    </row>
    <row r="784" spans="1:26" ht="15.75" x14ac:dyDescent="0.25">
      <c r="A784" s="145"/>
      <c r="B784" s="145"/>
      <c r="C784" s="145"/>
      <c r="D784" s="145"/>
      <c r="E784" s="145"/>
      <c r="F784" s="145"/>
      <c r="G784" s="145"/>
      <c r="H784" s="145"/>
      <c r="I784" s="145"/>
      <c r="J784" s="145"/>
      <c r="K784" s="145"/>
      <c r="L784" s="145"/>
      <c r="M784" s="145"/>
      <c r="N784" s="145"/>
      <c r="O784" s="145"/>
      <c r="P784" s="145"/>
      <c r="Q784" s="145"/>
      <c r="R784" s="145"/>
      <c r="S784" s="145"/>
      <c r="T784" s="145"/>
      <c r="U784" s="145"/>
      <c r="V784" s="145"/>
      <c r="W784" s="145"/>
      <c r="X784" s="145"/>
      <c r="Y784" s="145"/>
      <c r="Z784" s="145"/>
    </row>
    <row r="785" spans="1:26" ht="15.75" x14ac:dyDescent="0.25">
      <c r="A785" s="145"/>
      <c r="B785" s="145"/>
      <c r="C785" s="145"/>
      <c r="D785" s="145"/>
      <c r="E785" s="145"/>
      <c r="F785" s="145"/>
      <c r="G785" s="145"/>
      <c r="H785" s="145"/>
      <c r="I785" s="145"/>
      <c r="J785" s="145"/>
      <c r="K785" s="145"/>
      <c r="L785" s="145"/>
      <c r="M785" s="145"/>
      <c r="N785" s="145"/>
      <c r="O785" s="145"/>
      <c r="P785" s="145"/>
      <c r="Q785" s="145"/>
      <c r="R785" s="145"/>
      <c r="S785" s="145"/>
      <c r="T785" s="145"/>
      <c r="U785" s="145"/>
      <c r="V785" s="145"/>
      <c r="W785" s="145"/>
      <c r="X785" s="145"/>
      <c r="Y785" s="145"/>
      <c r="Z785" s="145"/>
    </row>
    <row r="786" spans="1:26" ht="15.75" x14ac:dyDescent="0.25">
      <c r="A786" s="145"/>
      <c r="B786" s="145"/>
      <c r="C786" s="145"/>
      <c r="D786" s="145"/>
      <c r="E786" s="145"/>
      <c r="F786" s="145"/>
      <c r="G786" s="145"/>
      <c r="H786" s="145"/>
      <c r="I786" s="145"/>
      <c r="J786" s="145"/>
      <c r="K786" s="145"/>
      <c r="L786" s="145"/>
      <c r="M786" s="145"/>
      <c r="N786" s="145"/>
      <c r="O786" s="145"/>
      <c r="P786" s="145"/>
      <c r="Q786" s="145"/>
      <c r="R786" s="145"/>
      <c r="S786" s="145"/>
      <c r="T786" s="145"/>
      <c r="U786" s="145"/>
      <c r="V786" s="145"/>
      <c r="W786" s="145"/>
      <c r="X786" s="145"/>
      <c r="Y786" s="145"/>
      <c r="Z786" s="145"/>
    </row>
    <row r="787" spans="1:26" ht="15.75" x14ac:dyDescent="0.25">
      <c r="A787" s="145"/>
      <c r="B787" s="145"/>
      <c r="C787" s="145"/>
      <c r="D787" s="145"/>
      <c r="E787" s="145"/>
      <c r="F787" s="145"/>
      <c r="G787" s="145"/>
      <c r="H787" s="145"/>
      <c r="I787" s="145"/>
      <c r="J787" s="145"/>
      <c r="K787" s="145"/>
      <c r="L787" s="145"/>
      <c r="M787" s="145"/>
      <c r="N787" s="145"/>
      <c r="O787" s="145"/>
      <c r="P787" s="145"/>
      <c r="Q787" s="145"/>
      <c r="R787" s="145"/>
      <c r="S787" s="145"/>
      <c r="T787" s="145"/>
      <c r="U787" s="145"/>
      <c r="V787" s="145"/>
      <c r="W787" s="145"/>
      <c r="X787" s="145"/>
      <c r="Y787" s="145"/>
      <c r="Z787" s="145"/>
    </row>
    <row r="788" spans="1:26" ht="15.75" x14ac:dyDescent="0.25">
      <c r="A788" s="145"/>
      <c r="B788" s="145"/>
      <c r="C788" s="145"/>
      <c r="D788" s="145"/>
      <c r="E788" s="145"/>
      <c r="F788" s="145"/>
      <c r="G788" s="145"/>
      <c r="H788" s="145"/>
      <c r="I788" s="145"/>
      <c r="J788" s="145"/>
      <c r="K788" s="145"/>
      <c r="L788" s="145"/>
      <c r="M788" s="145"/>
      <c r="N788" s="145"/>
      <c r="O788" s="145"/>
      <c r="P788" s="145"/>
      <c r="Q788" s="145"/>
      <c r="R788" s="145"/>
      <c r="S788" s="145"/>
      <c r="T788" s="145"/>
      <c r="U788" s="145"/>
      <c r="V788" s="145"/>
      <c r="W788" s="145"/>
      <c r="X788" s="145"/>
      <c r="Y788" s="145"/>
      <c r="Z788" s="145"/>
    </row>
    <row r="789" spans="1:26" ht="15.75" x14ac:dyDescent="0.25">
      <c r="A789" s="145"/>
      <c r="B789" s="145"/>
      <c r="C789" s="145"/>
      <c r="D789" s="145"/>
      <c r="E789" s="145"/>
      <c r="F789" s="145"/>
      <c r="G789" s="145"/>
      <c r="H789" s="145"/>
      <c r="I789" s="145"/>
      <c r="J789" s="145"/>
      <c r="K789" s="145"/>
      <c r="L789" s="145"/>
      <c r="M789" s="145"/>
      <c r="N789" s="145"/>
      <c r="O789" s="145"/>
      <c r="P789" s="145"/>
      <c r="Q789" s="145"/>
      <c r="R789" s="145"/>
      <c r="S789" s="145"/>
      <c r="T789" s="145"/>
      <c r="U789" s="145"/>
      <c r="V789" s="145"/>
      <c r="W789" s="145"/>
      <c r="X789" s="145"/>
      <c r="Y789" s="145"/>
      <c r="Z789" s="145"/>
    </row>
    <row r="790" spans="1:26" ht="15.75" x14ac:dyDescent="0.25">
      <c r="A790" s="145"/>
      <c r="B790" s="145"/>
      <c r="C790" s="145"/>
      <c r="D790" s="145"/>
      <c r="E790" s="145"/>
      <c r="F790" s="145"/>
      <c r="G790" s="145"/>
      <c r="H790" s="145"/>
      <c r="I790" s="145"/>
      <c r="J790" s="145"/>
      <c r="K790" s="145"/>
      <c r="L790" s="145"/>
      <c r="M790" s="145"/>
      <c r="N790" s="145"/>
      <c r="O790" s="145"/>
      <c r="P790" s="145"/>
      <c r="Q790" s="145"/>
      <c r="R790" s="145"/>
      <c r="S790" s="145"/>
      <c r="T790" s="145"/>
      <c r="U790" s="145"/>
      <c r="V790" s="145"/>
      <c r="W790" s="145"/>
      <c r="X790" s="145"/>
      <c r="Y790" s="145"/>
      <c r="Z790" s="145"/>
    </row>
    <row r="791" spans="1:26" ht="15.75" x14ac:dyDescent="0.25">
      <c r="A791" s="145"/>
      <c r="B791" s="145"/>
      <c r="C791" s="145"/>
      <c r="D791" s="145"/>
      <c r="E791" s="145"/>
      <c r="F791" s="145"/>
      <c r="G791" s="145"/>
      <c r="H791" s="145"/>
      <c r="I791" s="145"/>
      <c r="J791" s="145"/>
      <c r="K791" s="145"/>
      <c r="L791" s="145"/>
      <c r="M791" s="145"/>
      <c r="N791" s="145"/>
      <c r="O791" s="145"/>
      <c r="P791" s="145"/>
      <c r="Q791" s="145"/>
      <c r="R791" s="145"/>
      <c r="S791" s="145"/>
      <c r="T791" s="145"/>
      <c r="U791" s="145"/>
      <c r="V791" s="145"/>
      <c r="W791" s="145"/>
      <c r="X791" s="145"/>
      <c r="Y791" s="145"/>
      <c r="Z791" s="145"/>
    </row>
    <row r="792" spans="1:26" ht="15.75" x14ac:dyDescent="0.25">
      <c r="A792" s="145"/>
      <c r="B792" s="145"/>
      <c r="C792" s="145"/>
      <c r="D792" s="145"/>
      <c r="E792" s="145"/>
      <c r="F792" s="145"/>
      <c r="G792" s="145"/>
      <c r="H792" s="145"/>
      <c r="I792" s="145"/>
      <c r="J792" s="145"/>
      <c r="K792" s="145"/>
      <c r="L792" s="145"/>
      <c r="M792" s="145"/>
      <c r="N792" s="145"/>
      <c r="O792" s="145"/>
      <c r="P792" s="145"/>
      <c r="Q792" s="145"/>
      <c r="R792" s="145"/>
      <c r="S792" s="145"/>
      <c r="T792" s="145"/>
      <c r="U792" s="145"/>
      <c r="V792" s="145"/>
      <c r="W792" s="145"/>
      <c r="X792" s="145"/>
      <c r="Y792" s="145"/>
      <c r="Z792" s="145"/>
    </row>
    <row r="793" spans="1:26" ht="15.75" x14ac:dyDescent="0.25">
      <c r="A793" s="145"/>
      <c r="B793" s="145"/>
      <c r="C793" s="145"/>
      <c r="D793" s="145"/>
      <c r="E793" s="145"/>
      <c r="F793" s="145"/>
      <c r="G793" s="145"/>
      <c r="H793" s="145"/>
      <c r="I793" s="145"/>
      <c r="J793" s="145"/>
      <c r="K793" s="145"/>
      <c r="L793" s="145"/>
      <c r="M793" s="145"/>
      <c r="N793" s="145"/>
      <c r="O793" s="145"/>
      <c r="P793" s="145"/>
      <c r="Q793" s="145"/>
      <c r="R793" s="145"/>
      <c r="S793" s="145"/>
      <c r="T793" s="145"/>
      <c r="U793" s="145"/>
      <c r="V793" s="145"/>
      <c r="W793" s="145"/>
      <c r="X793" s="145"/>
      <c r="Y793" s="145"/>
      <c r="Z793" s="145"/>
    </row>
    <row r="794" spans="1:26" ht="15.75" x14ac:dyDescent="0.25">
      <c r="A794" s="145"/>
      <c r="B794" s="145"/>
      <c r="C794" s="145"/>
      <c r="D794" s="145"/>
      <c r="E794" s="145"/>
      <c r="F794" s="145"/>
      <c r="G794" s="145"/>
      <c r="H794" s="145"/>
      <c r="I794" s="145"/>
      <c r="J794" s="145"/>
      <c r="K794" s="145"/>
      <c r="L794" s="145"/>
      <c r="M794" s="145"/>
      <c r="N794" s="145"/>
      <c r="O794" s="145"/>
      <c r="P794" s="145"/>
      <c r="Q794" s="145"/>
      <c r="R794" s="145"/>
      <c r="S794" s="145"/>
      <c r="T794" s="145"/>
      <c r="U794" s="145"/>
      <c r="V794" s="145"/>
      <c r="W794" s="145"/>
      <c r="X794" s="145"/>
      <c r="Y794" s="145"/>
      <c r="Z794" s="145"/>
    </row>
    <row r="795" spans="1:26" ht="15.75" x14ac:dyDescent="0.25">
      <c r="A795" s="145"/>
      <c r="B795" s="145"/>
      <c r="C795" s="145"/>
      <c r="D795" s="145"/>
      <c r="E795" s="145"/>
      <c r="F795" s="145"/>
      <c r="G795" s="145"/>
      <c r="H795" s="145"/>
      <c r="I795" s="145"/>
      <c r="J795" s="145"/>
      <c r="K795" s="145"/>
      <c r="L795" s="145"/>
      <c r="M795" s="145"/>
      <c r="N795" s="145"/>
      <c r="O795" s="145"/>
      <c r="P795" s="145"/>
      <c r="Q795" s="145"/>
      <c r="R795" s="145"/>
      <c r="S795" s="145"/>
      <c r="T795" s="145"/>
      <c r="U795" s="145"/>
      <c r="V795" s="145"/>
      <c r="W795" s="145"/>
      <c r="X795" s="145"/>
      <c r="Y795" s="145"/>
      <c r="Z795" s="145"/>
    </row>
    <row r="796" spans="1:26" ht="15.75" x14ac:dyDescent="0.25">
      <c r="A796" s="145"/>
      <c r="B796" s="145"/>
      <c r="C796" s="145"/>
      <c r="D796" s="145"/>
      <c r="E796" s="145"/>
      <c r="F796" s="145"/>
      <c r="G796" s="145"/>
      <c r="H796" s="145"/>
      <c r="I796" s="145"/>
      <c r="J796" s="145"/>
      <c r="K796" s="145"/>
      <c r="L796" s="145"/>
      <c r="M796" s="145"/>
      <c r="N796" s="145"/>
      <c r="O796" s="145"/>
      <c r="P796" s="145"/>
      <c r="Q796" s="145"/>
      <c r="R796" s="145"/>
      <c r="S796" s="145"/>
      <c r="T796" s="145"/>
      <c r="U796" s="145"/>
      <c r="V796" s="145"/>
      <c r="W796" s="145"/>
      <c r="X796" s="145"/>
      <c r="Y796" s="145"/>
      <c r="Z796" s="145"/>
    </row>
    <row r="797" spans="1:26" ht="15.75" x14ac:dyDescent="0.25">
      <c r="A797" s="145"/>
      <c r="B797" s="145"/>
      <c r="C797" s="145"/>
      <c r="D797" s="145"/>
      <c r="E797" s="145"/>
      <c r="F797" s="145"/>
      <c r="G797" s="145"/>
      <c r="H797" s="145"/>
      <c r="I797" s="145"/>
      <c r="J797" s="145"/>
      <c r="K797" s="145"/>
      <c r="L797" s="145"/>
      <c r="M797" s="145"/>
      <c r="N797" s="145"/>
      <c r="O797" s="145"/>
      <c r="P797" s="145"/>
      <c r="Q797" s="145"/>
      <c r="R797" s="145"/>
      <c r="S797" s="145"/>
      <c r="T797" s="145"/>
      <c r="U797" s="145"/>
      <c r="V797" s="145"/>
      <c r="W797" s="145"/>
      <c r="X797" s="145"/>
      <c r="Y797" s="145"/>
      <c r="Z797" s="145"/>
    </row>
    <row r="798" spans="1:26" ht="15.75" x14ac:dyDescent="0.25">
      <c r="A798" s="145"/>
      <c r="B798" s="145"/>
      <c r="C798" s="145"/>
      <c r="D798" s="145"/>
      <c r="E798" s="145"/>
      <c r="F798" s="145"/>
      <c r="G798" s="145"/>
      <c r="H798" s="145"/>
      <c r="I798" s="145"/>
      <c r="J798" s="145"/>
      <c r="K798" s="145"/>
      <c r="L798" s="145"/>
      <c r="M798" s="145"/>
      <c r="N798" s="145"/>
      <c r="O798" s="145"/>
      <c r="P798" s="145"/>
      <c r="Q798" s="145"/>
      <c r="R798" s="145"/>
      <c r="S798" s="145"/>
      <c r="T798" s="145"/>
      <c r="U798" s="145"/>
      <c r="V798" s="145"/>
      <c r="W798" s="145"/>
      <c r="X798" s="145"/>
      <c r="Y798" s="145"/>
      <c r="Z798" s="145"/>
    </row>
    <row r="799" spans="1:26" ht="15.75" x14ac:dyDescent="0.25">
      <c r="A799" s="145"/>
      <c r="B799" s="145"/>
      <c r="C799" s="145"/>
      <c r="D799" s="145"/>
      <c r="E799" s="145"/>
      <c r="F799" s="145"/>
      <c r="G799" s="145"/>
      <c r="H799" s="145"/>
      <c r="I799" s="145"/>
      <c r="J799" s="145"/>
      <c r="K799" s="145"/>
      <c r="L799" s="145"/>
      <c r="M799" s="145"/>
      <c r="N799" s="145"/>
      <c r="O799" s="145"/>
      <c r="P799" s="145"/>
      <c r="Q799" s="145"/>
      <c r="R799" s="145"/>
      <c r="S799" s="145"/>
      <c r="T799" s="145"/>
      <c r="U799" s="145"/>
      <c r="V799" s="145"/>
      <c r="W799" s="145"/>
      <c r="X799" s="145"/>
      <c r="Y799" s="145"/>
      <c r="Z799" s="145"/>
    </row>
    <row r="800" spans="1:26" ht="15.75" x14ac:dyDescent="0.25">
      <c r="A800" s="145"/>
      <c r="B800" s="145"/>
      <c r="C800" s="145"/>
      <c r="D800" s="145"/>
      <c r="E800" s="145"/>
      <c r="F800" s="145"/>
      <c r="G800" s="145"/>
      <c r="H800" s="145"/>
      <c r="I800" s="145"/>
      <c r="J800" s="145"/>
      <c r="K800" s="145"/>
      <c r="L800" s="145"/>
      <c r="M800" s="145"/>
      <c r="N800" s="145"/>
      <c r="O800" s="145"/>
      <c r="P800" s="145"/>
      <c r="Q800" s="145"/>
      <c r="R800" s="145"/>
      <c r="S800" s="145"/>
      <c r="T800" s="145"/>
      <c r="U800" s="145"/>
      <c r="V800" s="145"/>
      <c r="W800" s="145"/>
      <c r="X800" s="145"/>
      <c r="Y800" s="145"/>
      <c r="Z800" s="145"/>
    </row>
    <row r="801" spans="1:26" ht="15.75" x14ac:dyDescent="0.25">
      <c r="A801" s="145"/>
      <c r="B801" s="145"/>
      <c r="C801" s="145"/>
      <c r="D801" s="145"/>
      <c r="E801" s="145"/>
      <c r="F801" s="145"/>
      <c r="G801" s="145"/>
      <c r="H801" s="145"/>
      <c r="I801" s="145"/>
      <c r="J801" s="145"/>
      <c r="K801" s="145"/>
      <c r="L801" s="145"/>
      <c r="M801" s="145"/>
      <c r="N801" s="145"/>
      <c r="O801" s="145"/>
      <c r="P801" s="145"/>
      <c r="Q801" s="145"/>
      <c r="R801" s="145"/>
      <c r="S801" s="145"/>
      <c r="T801" s="145"/>
      <c r="U801" s="145"/>
      <c r="V801" s="145"/>
      <c r="W801" s="145"/>
      <c r="X801" s="145"/>
      <c r="Y801" s="145"/>
      <c r="Z801" s="145"/>
    </row>
    <row r="802" spans="1:26" ht="15.75" x14ac:dyDescent="0.25">
      <c r="A802" s="145"/>
      <c r="B802" s="145"/>
      <c r="C802" s="145"/>
      <c r="D802" s="145"/>
      <c r="E802" s="145"/>
      <c r="F802" s="145"/>
      <c r="G802" s="145"/>
      <c r="H802" s="145"/>
      <c r="I802" s="145"/>
      <c r="J802" s="145"/>
      <c r="K802" s="145"/>
      <c r="L802" s="145"/>
      <c r="M802" s="145"/>
      <c r="N802" s="145"/>
      <c r="O802" s="145"/>
      <c r="P802" s="145"/>
      <c r="Q802" s="145"/>
      <c r="R802" s="145"/>
      <c r="S802" s="145"/>
      <c r="T802" s="145"/>
      <c r="U802" s="145"/>
      <c r="V802" s="145"/>
      <c r="W802" s="145"/>
      <c r="X802" s="145"/>
      <c r="Y802" s="145"/>
      <c r="Z802" s="145"/>
    </row>
    <row r="803" spans="1:26" ht="15.75" x14ac:dyDescent="0.25">
      <c r="A803" s="145"/>
      <c r="B803" s="145"/>
      <c r="C803" s="145"/>
      <c r="D803" s="145"/>
      <c r="E803" s="145"/>
      <c r="F803" s="145"/>
      <c r="G803" s="145"/>
      <c r="H803" s="145"/>
      <c r="I803" s="145"/>
      <c r="J803" s="145"/>
      <c r="K803" s="145"/>
      <c r="L803" s="145"/>
      <c r="M803" s="145"/>
      <c r="N803" s="145"/>
      <c r="O803" s="145"/>
      <c r="P803" s="145"/>
      <c r="Q803" s="145"/>
      <c r="R803" s="145"/>
      <c r="S803" s="145"/>
      <c r="T803" s="145"/>
      <c r="U803" s="145"/>
      <c r="V803" s="145"/>
      <c r="W803" s="145"/>
      <c r="X803" s="145"/>
      <c r="Y803" s="145"/>
      <c r="Z803" s="145"/>
    </row>
    <row r="804" spans="1:26" ht="15.75" x14ac:dyDescent="0.25">
      <c r="A804" s="145"/>
      <c r="B804" s="145"/>
      <c r="C804" s="145"/>
      <c r="D804" s="145"/>
      <c r="E804" s="145"/>
      <c r="F804" s="145"/>
      <c r="G804" s="145"/>
      <c r="H804" s="145"/>
      <c r="I804" s="145"/>
      <c r="J804" s="145"/>
      <c r="K804" s="145"/>
      <c r="L804" s="145"/>
      <c r="M804" s="145"/>
      <c r="N804" s="145"/>
      <c r="O804" s="145"/>
      <c r="P804" s="145"/>
      <c r="Q804" s="145"/>
      <c r="R804" s="145"/>
      <c r="S804" s="145"/>
      <c r="T804" s="145"/>
      <c r="U804" s="145"/>
      <c r="V804" s="145"/>
      <c r="W804" s="145"/>
      <c r="X804" s="145"/>
      <c r="Y804" s="145"/>
      <c r="Z804" s="145"/>
    </row>
    <row r="805" spans="1:26" ht="15.75" x14ac:dyDescent="0.25">
      <c r="A805" s="145"/>
      <c r="B805" s="145"/>
      <c r="C805" s="145"/>
      <c r="D805" s="145"/>
      <c r="E805" s="145"/>
      <c r="F805" s="145"/>
      <c r="G805" s="145"/>
      <c r="H805" s="145"/>
      <c r="I805" s="145"/>
      <c r="J805" s="145"/>
      <c r="K805" s="145"/>
      <c r="L805" s="145"/>
      <c r="M805" s="145"/>
      <c r="N805" s="145"/>
      <c r="O805" s="145"/>
      <c r="P805" s="145"/>
      <c r="Q805" s="145"/>
      <c r="R805" s="145"/>
      <c r="S805" s="145"/>
      <c r="T805" s="145"/>
      <c r="U805" s="145"/>
      <c r="V805" s="145"/>
      <c r="W805" s="145"/>
      <c r="X805" s="145"/>
      <c r="Y805" s="145"/>
      <c r="Z805" s="145"/>
    </row>
    <row r="806" spans="1:26" ht="15.75" x14ac:dyDescent="0.25">
      <c r="A806" s="145"/>
      <c r="B806" s="145"/>
      <c r="C806" s="145"/>
      <c r="D806" s="145"/>
      <c r="E806" s="145"/>
      <c r="F806" s="145"/>
      <c r="G806" s="145"/>
      <c r="H806" s="145"/>
      <c r="I806" s="145"/>
      <c r="J806" s="145"/>
      <c r="K806" s="145"/>
      <c r="L806" s="145"/>
      <c r="M806" s="145"/>
      <c r="N806" s="145"/>
      <c r="O806" s="145"/>
      <c r="P806" s="145"/>
      <c r="Q806" s="145"/>
      <c r="R806" s="145"/>
      <c r="S806" s="145"/>
      <c r="T806" s="145"/>
      <c r="U806" s="145"/>
      <c r="V806" s="145"/>
      <c r="W806" s="145"/>
      <c r="X806" s="145"/>
      <c r="Y806" s="145"/>
      <c r="Z806" s="145"/>
    </row>
    <row r="807" spans="1:26" ht="15.75" x14ac:dyDescent="0.25">
      <c r="A807" s="145"/>
      <c r="B807" s="145"/>
      <c r="C807" s="145"/>
      <c r="D807" s="145"/>
      <c r="E807" s="145"/>
      <c r="F807" s="145"/>
      <c r="G807" s="145"/>
      <c r="H807" s="145"/>
      <c r="I807" s="145"/>
      <c r="J807" s="145"/>
      <c r="K807" s="145"/>
      <c r="L807" s="145"/>
      <c r="M807" s="145"/>
      <c r="N807" s="145"/>
      <c r="O807" s="145"/>
      <c r="P807" s="145"/>
      <c r="Q807" s="145"/>
      <c r="R807" s="145"/>
      <c r="S807" s="145"/>
      <c r="T807" s="145"/>
      <c r="U807" s="145"/>
      <c r="V807" s="145"/>
      <c r="W807" s="145"/>
      <c r="X807" s="145"/>
      <c r="Y807" s="145"/>
      <c r="Z807" s="145"/>
    </row>
    <row r="808" spans="1:26" ht="15.75" x14ac:dyDescent="0.25">
      <c r="A808" s="145"/>
      <c r="B808" s="145"/>
      <c r="C808" s="145"/>
      <c r="D808" s="145"/>
      <c r="E808" s="145"/>
      <c r="F808" s="145"/>
      <c r="G808" s="145"/>
      <c r="H808" s="145"/>
      <c r="I808" s="145"/>
      <c r="J808" s="145"/>
      <c r="K808" s="145"/>
      <c r="L808" s="145"/>
      <c r="M808" s="145"/>
      <c r="N808" s="145"/>
      <c r="O808" s="145"/>
      <c r="P808" s="145"/>
      <c r="Q808" s="145"/>
      <c r="R808" s="145"/>
      <c r="S808" s="145"/>
      <c r="T808" s="145"/>
      <c r="U808" s="145"/>
      <c r="V808" s="145"/>
      <c r="W808" s="145"/>
      <c r="X808" s="145"/>
      <c r="Y808" s="145"/>
      <c r="Z808" s="145"/>
    </row>
    <row r="809" spans="1:26" ht="15.75" x14ac:dyDescent="0.25">
      <c r="A809" s="145"/>
      <c r="B809" s="145"/>
      <c r="C809" s="145"/>
      <c r="D809" s="145"/>
      <c r="E809" s="145"/>
      <c r="F809" s="145"/>
      <c r="G809" s="145"/>
      <c r="H809" s="145"/>
      <c r="I809" s="145"/>
      <c r="J809" s="145"/>
      <c r="K809" s="145"/>
      <c r="L809" s="145"/>
      <c r="M809" s="145"/>
      <c r="N809" s="145"/>
      <c r="O809" s="145"/>
      <c r="P809" s="145"/>
      <c r="Q809" s="145"/>
      <c r="R809" s="145"/>
      <c r="S809" s="145"/>
      <c r="T809" s="145"/>
      <c r="U809" s="145"/>
      <c r="V809" s="145"/>
      <c r="W809" s="145"/>
      <c r="X809" s="145"/>
      <c r="Y809" s="145"/>
      <c r="Z809" s="145"/>
    </row>
    <row r="810" spans="1:26" ht="15.75" x14ac:dyDescent="0.25">
      <c r="A810" s="145"/>
      <c r="B810" s="145"/>
      <c r="C810" s="145"/>
      <c r="D810" s="145"/>
      <c r="E810" s="145"/>
      <c r="F810" s="145"/>
      <c r="G810" s="145"/>
      <c r="H810" s="145"/>
      <c r="I810" s="145"/>
      <c r="J810" s="145"/>
      <c r="K810" s="145"/>
      <c r="L810" s="145"/>
      <c r="M810" s="145"/>
      <c r="N810" s="145"/>
      <c r="O810" s="145"/>
      <c r="P810" s="145"/>
      <c r="Q810" s="145"/>
      <c r="R810" s="145"/>
      <c r="S810" s="145"/>
      <c r="T810" s="145"/>
      <c r="U810" s="145"/>
      <c r="V810" s="145"/>
      <c r="W810" s="145"/>
      <c r="X810" s="145"/>
      <c r="Y810" s="145"/>
      <c r="Z810" s="145"/>
    </row>
    <row r="811" spans="1:26" ht="15.75" x14ac:dyDescent="0.25">
      <c r="A811" s="145"/>
      <c r="B811" s="145"/>
      <c r="C811" s="145"/>
      <c r="D811" s="145"/>
      <c r="E811" s="145"/>
      <c r="F811" s="145"/>
      <c r="G811" s="145"/>
      <c r="H811" s="145"/>
      <c r="I811" s="145"/>
      <c r="J811" s="145"/>
      <c r="K811" s="145"/>
      <c r="L811" s="145"/>
      <c r="M811" s="145"/>
      <c r="N811" s="145"/>
      <c r="O811" s="145"/>
      <c r="P811" s="145"/>
      <c r="Q811" s="145"/>
      <c r="R811" s="145"/>
      <c r="S811" s="145"/>
      <c r="T811" s="145"/>
      <c r="U811" s="145"/>
      <c r="V811" s="145"/>
      <c r="W811" s="145"/>
      <c r="X811" s="145"/>
      <c r="Y811" s="145"/>
      <c r="Z811" s="145"/>
    </row>
    <row r="812" spans="1:26" ht="15.75" x14ac:dyDescent="0.25">
      <c r="A812" s="145"/>
      <c r="B812" s="145"/>
      <c r="C812" s="145"/>
      <c r="D812" s="145"/>
      <c r="E812" s="145"/>
      <c r="F812" s="145"/>
      <c r="G812" s="145"/>
      <c r="H812" s="145"/>
      <c r="I812" s="145"/>
      <c r="J812" s="145"/>
      <c r="K812" s="145"/>
      <c r="L812" s="145"/>
      <c r="M812" s="145"/>
      <c r="N812" s="145"/>
      <c r="O812" s="145"/>
      <c r="P812" s="145"/>
      <c r="Q812" s="145"/>
      <c r="R812" s="145"/>
      <c r="S812" s="145"/>
      <c r="T812" s="145"/>
      <c r="U812" s="145"/>
      <c r="V812" s="145"/>
      <c r="W812" s="145"/>
      <c r="X812" s="145"/>
      <c r="Y812" s="145"/>
      <c r="Z812" s="145"/>
    </row>
    <row r="813" spans="1:26" ht="15.75" x14ac:dyDescent="0.25">
      <c r="A813" s="145"/>
      <c r="B813" s="145"/>
      <c r="C813" s="145"/>
      <c r="D813" s="145"/>
      <c r="E813" s="145"/>
      <c r="F813" s="145"/>
      <c r="G813" s="145"/>
      <c r="H813" s="145"/>
      <c r="I813" s="145"/>
      <c r="J813" s="145"/>
      <c r="K813" s="145"/>
      <c r="L813" s="145"/>
      <c r="M813" s="145"/>
      <c r="N813" s="145"/>
      <c r="O813" s="145"/>
      <c r="P813" s="145"/>
      <c r="Q813" s="145"/>
      <c r="R813" s="145"/>
      <c r="S813" s="145"/>
      <c r="T813" s="145"/>
      <c r="U813" s="145"/>
      <c r="V813" s="145"/>
      <c r="W813" s="145"/>
      <c r="X813" s="145"/>
      <c r="Y813" s="145"/>
      <c r="Z813" s="145"/>
    </row>
    <row r="814" spans="1:26" ht="15.75" x14ac:dyDescent="0.25">
      <c r="A814" s="145"/>
      <c r="B814" s="145"/>
      <c r="C814" s="145"/>
      <c r="D814" s="145"/>
      <c r="E814" s="145"/>
      <c r="F814" s="145"/>
      <c r="G814" s="145"/>
      <c r="H814" s="145"/>
      <c r="I814" s="145"/>
      <c r="J814" s="145"/>
      <c r="K814" s="145"/>
      <c r="L814" s="145"/>
      <c r="M814" s="145"/>
      <c r="N814" s="145"/>
      <c r="O814" s="145"/>
      <c r="P814" s="145"/>
      <c r="Q814" s="145"/>
      <c r="R814" s="145"/>
      <c r="S814" s="145"/>
      <c r="T814" s="145"/>
      <c r="U814" s="145"/>
      <c r="V814" s="145"/>
      <c r="W814" s="145"/>
      <c r="X814" s="145"/>
      <c r="Y814" s="145"/>
      <c r="Z814" s="145"/>
    </row>
    <row r="815" spans="1:26" ht="15.75" x14ac:dyDescent="0.25">
      <c r="A815" s="145"/>
      <c r="B815" s="145"/>
      <c r="C815" s="145"/>
      <c r="D815" s="145"/>
      <c r="E815" s="145"/>
      <c r="F815" s="145"/>
      <c r="G815" s="145"/>
      <c r="H815" s="145"/>
      <c r="I815" s="145"/>
      <c r="J815" s="145"/>
      <c r="K815" s="145"/>
      <c r="L815" s="145"/>
      <c r="M815" s="145"/>
      <c r="N815" s="145"/>
      <c r="O815" s="145"/>
      <c r="P815" s="145"/>
      <c r="Q815" s="145"/>
      <c r="R815" s="145"/>
      <c r="S815" s="145"/>
      <c r="T815" s="145"/>
      <c r="U815" s="145"/>
      <c r="V815" s="145"/>
      <c r="W815" s="145"/>
      <c r="X815" s="145"/>
      <c r="Y815" s="145"/>
      <c r="Z815" s="145"/>
    </row>
    <row r="816" spans="1:26" ht="15.75" x14ac:dyDescent="0.25">
      <c r="A816" s="145"/>
      <c r="B816" s="145"/>
      <c r="C816" s="145"/>
      <c r="D816" s="145"/>
      <c r="E816" s="145"/>
      <c r="F816" s="145"/>
      <c r="G816" s="145"/>
      <c r="H816" s="145"/>
      <c r="I816" s="145"/>
      <c r="J816" s="145"/>
      <c r="K816" s="145"/>
      <c r="L816" s="145"/>
      <c r="M816" s="145"/>
      <c r="N816" s="145"/>
      <c r="O816" s="145"/>
      <c r="P816" s="145"/>
      <c r="Q816" s="145"/>
      <c r="R816" s="145"/>
      <c r="S816" s="145"/>
      <c r="T816" s="145"/>
      <c r="U816" s="145"/>
      <c r="V816" s="145"/>
      <c r="W816" s="145"/>
      <c r="X816" s="145"/>
      <c r="Y816" s="145"/>
      <c r="Z816" s="145"/>
    </row>
    <row r="817" spans="1:26" ht="15.75" x14ac:dyDescent="0.25">
      <c r="A817" s="145"/>
      <c r="B817" s="145"/>
      <c r="C817" s="145"/>
      <c r="D817" s="145"/>
      <c r="E817" s="145"/>
      <c r="F817" s="145"/>
      <c r="G817" s="145"/>
      <c r="H817" s="145"/>
      <c r="I817" s="145"/>
      <c r="J817" s="145"/>
      <c r="K817" s="145"/>
      <c r="L817" s="145"/>
      <c r="M817" s="145"/>
      <c r="N817" s="145"/>
      <c r="O817" s="145"/>
      <c r="P817" s="145"/>
      <c r="Q817" s="145"/>
      <c r="R817" s="145"/>
      <c r="S817" s="145"/>
      <c r="T817" s="145"/>
      <c r="U817" s="145"/>
      <c r="V817" s="145"/>
      <c r="W817" s="145"/>
      <c r="X817" s="145"/>
      <c r="Y817" s="145"/>
      <c r="Z817" s="145"/>
    </row>
    <row r="818" spans="1:26" ht="15.75" x14ac:dyDescent="0.25">
      <c r="A818" s="145"/>
      <c r="B818" s="145"/>
      <c r="C818" s="145"/>
      <c r="D818" s="145"/>
      <c r="E818" s="145"/>
      <c r="F818" s="145"/>
      <c r="G818" s="145"/>
      <c r="H818" s="145"/>
      <c r="I818" s="145"/>
      <c r="J818" s="145"/>
      <c r="K818" s="145"/>
      <c r="L818" s="145"/>
      <c r="M818" s="145"/>
      <c r="N818" s="145"/>
      <c r="O818" s="145"/>
      <c r="P818" s="145"/>
      <c r="Q818" s="145"/>
      <c r="R818" s="145"/>
      <c r="S818" s="145"/>
      <c r="T818" s="145"/>
      <c r="U818" s="145"/>
      <c r="V818" s="145"/>
      <c r="W818" s="145"/>
      <c r="X818" s="145"/>
      <c r="Y818" s="145"/>
      <c r="Z818" s="145"/>
    </row>
    <row r="819" spans="1:26" ht="15.75" x14ac:dyDescent="0.25">
      <c r="A819" s="145"/>
      <c r="B819" s="145"/>
      <c r="C819" s="145"/>
      <c r="D819" s="145"/>
      <c r="E819" s="145"/>
      <c r="F819" s="145"/>
      <c r="G819" s="145"/>
      <c r="H819" s="145"/>
      <c r="I819" s="145"/>
      <c r="J819" s="145"/>
      <c r="K819" s="145"/>
      <c r="L819" s="145"/>
      <c r="M819" s="145"/>
      <c r="N819" s="145"/>
      <c r="O819" s="145"/>
      <c r="P819" s="145"/>
      <c r="Q819" s="145"/>
      <c r="R819" s="145"/>
      <c r="S819" s="145"/>
      <c r="T819" s="145"/>
      <c r="U819" s="145"/>
      <c r="V819" s="145"/>
      <c r="W819" s="145"/>
      <c r="X819" s="145"/>
      <c r="Y819" s="145"/>
      <c r="Z819" s="145"/>
    </row>
    <row r="820" spans="1:26" ht="15.75" x14ac:dyDescent="0.25">
      <c r="A820" s="145"/>
      <c r="B820" s="145"/>
      <c r="C820" s="145"/>
      <c r="D820" s="145"/>
      <c r="E820" s="145"/>
      <c r="F820" s="145"/>
      <c r="G820" s="145"/>
      <c r="H820" s="145"/>
      <c r="I820" s="145"/>
      <c r="J820" s="145"/>
      <c r="K820" s="145"/>
      <c r="L820" s="145"/>
      <c r="M820" s="145"/>
      <c r="N820" s="145"/>
      <c r="O820" s="145"/>
      <c r="P820" s="145"/>
      <c r="Q820" s="145"/>
      <c r="R820" s="145"/>
      <c r="S820" s="145"/>
      <c r="T820" s="145"/>
      <c r="U820" s="145"/>
      <c r="V820" s="145"/>
      <c r="W820" s="145"/>
      <c r="X820" s="145"/>
      <c r="Y820" s="145"/>
      <c r="Z820" s="145"/>
    </row>
    <row r="821" spans="1:26" ht="15.75" x14ac:dyDescent="0.25">
      <c r="A821" s="145"/>
      <c r="B821" s="145"/>
      <c r="C821" s="145"/>
      <c r="D821" s="145"/>
      <c r="E821" s="145"/>
      <c r="F821" s="145"/>
      <c r="G821" s="145"/>
      <c r="H821" s="145"/>
      <c r="I821" s="145"/>
      <c r="J821" s="145"/>
      <c r="K821" s="145"/>
      <c r="L821" s="145"/>
      <c r="M821" s="145"/>
      <c r="N821" s="145"/>
      <c r="O821" s="145"/>
      <c r="P821" s="145"/>
      <c r="Q821" s="145"/>
      <c r="R821" s="145"/>
      <c r="S821" s="145"/>
      <c r="T821" s="145"/>
      <c r="U821" s="145"/>
      <c r="V821" s="145"/>
      <c r="W821" s="145"/>
      <c r="X821" s="145"/>
      <c r="Y821" s="145"/>
      <c r="Z821" s="145"/>
    </row>
    <row r="822" spans="1:26" ht="15.75" x14ac:dyDescent="0.25">
      <c r="A822" s="145"/>
      <c r="B822" s="145"/>
      <c r="C822" s="145"/>
      <c r="D822" s="145"/>
      <c r="E822" s="145"/>
      <c r="F822" s="145"/>
      <c r="G822" s="145"/>
      <c r="H822" s="145"/>
      <c r="I822" s="145"/>
      <c r="J822" s="145"/>
      <c r="K822" s="145"/>
      <c r="L822" s="145"/>
      <c r="M822" s="145"/>
      <c r="N822" s="145"/>
      <c r="O822" s="145"/>
      <c r="P822" s="145"/>
      <c r="Q822" s="145"/>
      <c r="R822" s="145"/>
      <c r="S822" s="145"/>
      <c r="T822" s="145"/>
      <c r="U822" s="145"/>
      <c r="V822" s="145"/>
      <c r="W822" s="145"/>
      <c r="X822" s="145"/>
      <c r="Y822" s="145"/>
      <c r="Z822" s="145"/>
    </row>
    <row r="823" spans="1:26" ht="15.75" x14ac:dyDescent="0.25">
      <c r="A823" s="145"/>
      <c r="B823" s="145"/>
      <c r="C823" s="145"/>
      <c r="D823" s="145"/>
      <c r="E823" s="145"/>
      <c r="F823" s="145"/>
      <c r="G823" s="145"/>
      <c r="H823" s="145"/>
      <c r="I823" s="145"/>
      <c r="J823" s="145"/>
      <c r="K823" s="145"/>
      <c r="L823" s="145"/>
      <c r="M823" s="145"/>
      <c r="N823" s="145"/>
      <c r="O823" s="145"/>
      <c r="P823" s="145"/>
      <c r="Q823" s="145"/>
      <c r="R823" s="145"/>
      <c r="S823" s="145"/>
      <c r="T823" s="145"/>
      <c r="U823" s="145"/>
      <c r="V823" s="145"/>
      <c r="W823" s="145"/>
      <c r="X823" s="145"/>
      <c r="Y823" s="145"/>
      <c r="Z823" s="145"/>
    </row>
    <row r="824" spans="1:26" ht="15.75" x14ac:dyDescent="0.25">
      <c r="A824" s="145"/>
      <c r="B824" s="145"/>
      <c r="C824" s="145"/>
      <c r="D824" s="145"/>
      <c r="E824" s="145"/>
      <c r="F824" s="145"/>
      <c r="G824" s="145"/>
      <c r="H824" s="145"/>
      <c r="I824" s="145"/>
      <c r="J824" s="145"/>
      <c r="K824" s="145"/>
      <c r="L824" s="145"/>
      <c r="M824" s="145"/>
      <c r="N824" s="145"/>
      <c r="O824" s="145"/>
      <c r="P824" s="145"/>
      <c r="Q824" s="145"/>
      <c r="R824" s="145"/>
      <c r="S824" s="145"/>
      <c r="T824" s="145"/>
      <c r="U824" s="145"/>
      <c r="V824" s="145"/>
      <c r="W824" s="145"/>
      <c r="X824" s="145"/>
      <c r="Y824" s="145"/>
      <c r="Z824" s="145"/>
    </row>
    <row r="825" spans="1:26" ht="15.75" x14ac:dyDescent="0.25">
      <c r="A825" s="145"/>
      <c r="B825" s="145"/>
      <c r="C825" s="145"/>
      <c r="D825" s="145"/>
      <c r="E825" s="145"/>
      <c r="F825" s="145"/>
      <c r="G825" s="145"/>
      <c r="H825" s="145"/>
      <c r="I825" s="145"/>
      <c r="J825" s="145"/>
      <c r="K825" s="145"/>
      <c r="L825" s="145"/>
      <c r="M825" s="145"/>
      <c r="N825" s="145"/>
      <c r="O825" s="145"/>
      <c r="P825" s="145"/>
      <c r="Q825" s="145"/>
      <c r="R825" s="145"/>
      <c r="S825" s="145"/>
      <c r="T825" s="145"/>
      <c r="U825" s="145"/>
      <c r="V825" s="145"/>
      <c r="W825" s="145"/>
      <c r="X825" s="145"/>
      <c r="Y825" s="145"/>
      <c r="Z825" s="145"/>
    </row>
    <row r="826" spans="1:26" ht="15.75" x14ac:dyDescent="0.25">
      <c r="A826" s="145"/>
      <c r="B826" s="145"/>
      <c r="C826" s="145"/>
      <c r="D826" s="145"/>
      <c r="E826" s="145"/>
      <c r="F826" s="145"/>
      <c r="G826" s="145"/>
      <c r="H826" s="145"/>
      <c r="I826" s="145"/>
      <c r="J826" s="145"/>
      <c r="K826" s="145"/>
      <c r="L826" s="145"/>
      <c r="M826" s="145"/>
      <c r="N826" s="145"/>
      <c r="O826" s="145"/>
      <c r="P826" s="145"/>
      <c r="Q826" s="145"/>
      <c r="R826" s="145"/>
      <c r="S826" s="145"/>
      <c r="T826" s="145"/>
      <c r="U826" s="145"/>
      <c r="V826" s="145"/>
      <c r="W826" s="145"/>
      <c r="X826" s="145"/>
      <c r="Y826" s="145"/>
      <c r="Z826" s="145"/>
    </row>
    <row r="827" spans="1:26" ht="15.75" x14ac:dyDescent="0.25">
      <c r="A827" s="145"/>
      <c r="B827" s="145"/>
      <c r="C827" s="145"/>
      <c r="D827" s="145"/>
      <c r="E827" s="145"/>
      <c r="F827" s="145"/>
      <c r="G827" s="145"/>
      <c r="H827" s="145"/>
      <c r="I827" s="145"/>
      <c r="J827" s="145"/>
      <c r="K827" s="145"/>
      <c r="L827" s="145"/>
      <c r="M827" s="145"/>
      <c r="N827" s="145"/>
      <c r="O827" s="145"/>
      <c r="P827" s="145"/>
      <c r="Q827" s="145"/>
      <c r="R827" s="145"/>
      <c r="S827" s="145"/>
      <c r="T827" s="145"/>
      <c r="U827" s="145"/>
      <c r="V827" s="145"/>
      <c r="W827" s="145"/>
      <c r="X827" s="145"/>
      <c r="Y827" s="145"/>
      <c r="Z827" s="145"/>
    </row>
    <row r="828" spans="1:26" ht="15.75" x14ac:dyDescent="0.25">
      <c r="A828" s="145"/>
      <c r="B828" s="145"/>
      <c r="C828" s="145"/>
      <c r="D828" s="145"/>
      <c r="E828" s="145"/>
      <c r="F828" s="145"/>
      <c r="G828" s="145"/>
      <c r="H828" s="145"/>
      <c r="I828" s="145"/>
      <c r="J828" s="145"/>
      <c r="K828" s="145"/>
      <c r="L828" s="145"/>
      <c r="M828" s="145"/>
      <c r="N828" s="145"/>
      <c r="O828" s="145"/>
      <c r="P828" s="145"/>
      <c r="Q828" s="145"/>
      <c r="R828" s="145"/>
      <c r="S828" s="145"/>
      <c r="T828" s="145"/>
      <c r="U828" s="145"/>
      <c r="V828" s="145"/>
      <c r="W828" s="145"/>
      <c r="X828" s="145"/>
      <c r="Y828" s="145"/>
      <c r="Z828" s="145"/>
    </row>
    <row r="829" spans="1:26" ht="15.75" x14ac:dyDescent="0.25">
      <c r="A829" s="145"/>
      <c r="B829" s="145"/>
      <c r="C829" s="145"/>
      <c r="D829" s="145"/>
      <c r="E829" s="145"/>
      <c r="F829" s="145"/>
      <c r="G829" s="145"/>
      <c r="H829" s="145"/>
      <c r="I829" s="145"/>
      <c r="J829" s="145"/>
      <c r="K829" s="145"/>
      <c r="L829" s="145"/>
      <c r="M829" s="145"/>
      <c r="N829" s="145"/>
      <c r="O829" s="145"/>
      <c r="P829" s="145"/>
      <c r="Q829" s="145"/>
      <c r="R829" s="145"/>
      <c r="S829" s="145"/>
      <c r="T829" s="145"/>
      <c r="U829" s="145"/>
      <c r="V829" s="145"/>
      <c r="W829" s="145"/>
      <c r="X829" s="145"/>
      <c r="Y829" s="145"/>
      <c r="Z829" s="145"/>
    </row>
    <row r="830" spans="1:26" ht="15.75" x14ac:dyDescent="0.25">
      <c r="A830" s="145"/>
      <c r="B830" s="145"/>
      <c r="C830" s="145"/>
      <c r="D830" s="145"/>
      <c r="E830" s="145"/>
      <c r="F830" s="145"/>
      <c r="G830" s="145"/>
      <c r="H830" s="145"/>
      <c r="I830" s="145"/>
      <c r="J830" s="145"/>
      <c r="K830" s="145"/>
      <c r="L830" s="145"/>
      <c r="M830" s="145"/>
      <c r="N830" s="145"/>
      <c r="O830" s="145"/>
      <c r="P830" s="145"/>
      <c r="Q830" s="145"/>
      <c r="R830" s="145"/>
      <c r="S830" s="145"/>
      <c r="T830" s="145"/>
      <c r="U830" s="145"/>
      <c r="V830" s="145"/>
      <c r="W830" s="145"/>
      <c r="X830" s="145"/>
      <c r="Y830" s="145"/>
      <c r="Z830" s="145"/>
    </row>
    <row r="831" spans="1:26" ht="15.75" x14ac:dyDescent="0.25">
      <c r="A831" s="145"/>
      <c r="B831" s="145"/>
      <c r="C831" s="145"/>
      <c r="D831" s="145"/>
      <c r="E831" s="145"/>
      <c r="F831" s="145"/>
      <c r="G831" s="145"/>
      <c r="H831" s="145"/>
      <c r="I831" s="145"/>
      <c r="J831" s="145"/>
      <c r="K831" s="145"/>
      <c r="L831" s="145"/>
      <c r="M831" s="145"/>
      <c r="N831" s="145"/>
      <c r="O831" s="145"/>
      <c r="P831" s="145"/>
      <c r="Q831" s="145"/>
      <c r="R831" s="145"/>
      <c r="S831" s="145"/>
      <c r="T831" s="145"/>
      <c r="U831" s="145"/>
      <c r="V831" s="145"/>
      <c r="W831" s="145"/>
      <c r="X831" s="145"/>
      <c r="Y831" s="145"/>
      <c r="Z831" s="145"/>
    </row>
    <row r="832" spans="1:26" ht="15.75" x14ac:dyDescent="0.25">
      <c r="A832" s="145"/>
      <c r="B832" s="145"/>
      <c r="C832" s="145"/>
      <c r="D832" s="145"/>
      <c r="E832" s="145"/>
      <c r="F832" s="145"/>
      <c r="G832" s="145"/>
      <c r="H832" s="145"/>
      <c r="I832" s="145"/>
      <c r="J832" s="145"/>
      <c r="K832" s="145"/>
      <c r="L832" s="145"/>
      <c r="M832" s="145"/>
      <c r="N832" s="145"/>
      <c r="O832" s="145"/>
      <c r="P832" s="145"/>
      <c r="Q832" s="145"/>
      <c r="R832" s="145"/>
      <c r="S832" s="145"/>
      <c r="T832" s="145"/>
      <c r="U832" s="145"/>
      <c r="V832" s="145"/>
      <c r="W832" s="145"/>
      <c r="X832" s="145"/>
      <c r="Y832" s="145"/>
      <c r="Z832" s="145"/>
    </row>
    <row r="833" spans="1:26" ht="15.75" x14ac:dyDescent="0.25">
      <c r="A833" s="145"/>
      <c r="B833" s="145"/>
      <c r="C833" s="145"/>
      <c r="D833" s="145"/>
      <c r="E833" s="145"/>
      <c r="F833" s="145"/>
      <c r="G833" s="145"/>
      <c r="H833" s="145"/>
      <c r="I833" s="145"/>
      <c r="J833" s="145"/>
      <c r="K833" s="145"/>
      <c r="L833" s="145"/>
      <c r="M833" s="145"/>
      <c r="N833" s="145"/>
      <c r="O833" s="145"/>
      <c r="P833" s="145"/>
      <c r="Q833" s="145"/>
      <c r="R833" s="145"/>
      <c r="S833" s="145"/>
      <c r="T833" s="145"/>
      <c r="U833" s="145"/>
      <c r="V833" s="145"/>
      <c r="W833" s="145"/>
      <c r="X833" s="145"/>
      <c r="Y833" s="145"/>
      <c r="Z833" s="145"/>
    </row>
    <row r="834" spans="1:26" ht="15.75" x14ac:dyDescent="0.25">
      <c r="A834" s="145"/>
      <c r="B834" s="145"/>
      <c r="C834" s="145"/>
      <c r="D834" s="145"/>
      <c r="E834" s="145"/>
      <c r="F834" s="145"/>
      <c r="G834" s="145"/>
      <c r="H834" s="145"/>
      <c r="I834" s="145"/>
      <c r="J834" s="145"/>
      <c r="K834" s="145"/>
      <c r="L834" s="145"/>
      <c r="M834" s="145"/>
      <c r="N834" s="145"/>
      <c r="O834" s="145"/>
      <c r="P834" s="145"/>
      <c r="Q834" s="145"/>
      <c r="R834" s="145"/>
      <c r="S834" s="145"/>
      <c r="T834" s="145"/>
      <c r="U834" s="145"/>
      <c r="V834" s="145"/>
      <c r="W834" s="145"/>
      <c r="X834" s="145"/>
      <c r="Y834" s="145"/>
      <c r="Z834" s="145"/>
    </row>
    <row r="835" spans="1:26" ht="15.75" x14ac:dyDescent="0.25">
      <c r="A835" s="145"/>
      <c r="B835" s="145"/>
      <c r="C835" s="145"/>
      <c r="D835" s="145"/>
      <c r="E835" s="145"/>
      <c r="F835" s="145"/>
      <c r="G835" s="145"/>
      <c r="H835" s="145"/>
      <c r="I835" s="145"/>
      <c r="J835" s="145"/>
      <c r="K835" s="145"/>
      <c r="L835" s="145"/>
      <c r="M835" s="145"/>
      <c r="N835" s="145"/>
      <c r="O835" s="145"/>
      <c r="P835" s="145"/>
      <c r="Q835" s="145"/>
      <c r="R835" s="145"/>
      <c r="S835" s="145"/>
      <c r="T835" s="145"/>
      <c r="U835" s="145"/>
      <c r="V835" s="145"/>
      <c r="W835" s="145"/>
      <c r="X835" s="145"/>
      <c r="Y835" s="145"/>
      <c r="Z835" s="145"/>
    </row>
    <row r="836" spans="1:26" ht="15.75" x14ac:dyDescent="0.25">
      <c r="A836" s="145"/>
      <c r="B836" s="145"/>
      <c r="C836" s="145"/>
      <c r="D836" s="145"/>
      <c r="E836" s="145"/>
      <c r="F836" s="145"/>
      <c r="G836" s="145"/>
      <c r="H836" s="145"/>
      <c r="I836" s="145"/>
      <c r="J836" s="145"/>
      <c r="K836" s="145"/>
      <c r="L836" s="145"/>
      <c r="M836" s="145"/>
      <c r="N836" s="145"/>
      <c r="O836" s="145"/>
      <c r="P836" s="145"/>
      <c r="Q836" s="145"/>
      <c r="R836" s="145"/>
      <c r="S836" s="145"/>
      <c r="T836" s="145"/>
      <c r="U836" s="145"/>
      <c r="V836" s="145"/>
      <c r="W836" s="145"/>
      <c r="X836" s="145"/>
      <c r="Y836" s="145"/>
      <c r="Z836" s="145"/>
    </row>
    <row r="837" spans="1:26" ht="15.75" x14ac:dyDescent="0.25">
      <c r="A837" s="145"/>
      <c r="B837" s="145"/>
      <c r="C837" s="145"/>
      <c r="D837" s="145"/>
      <c r="E837" s="145"/>
      <c r="F837" s="145"/>
      <c r="G837" s="145"/>
      <c r="H837" s="145"/>
      <c r="I837" s="145"/>
      <c r="J837" s="145"/>
      <c r="K837" s="145"/>
      <c r="L837" s="145"/>
      <c r="M837" s="145"/>
      <c r="N837" s="145"/>
      <c r="O837" s="145"/>
      <c r="P837" s="145"/>
      <c r="Q837" s="145"/>
      <c r="R837" s="145"/>
      <c r="S837" s="145"/>
      <c r="T837" s="145"/>
      <c r="U837" s="145"/>
      <c r="V837" s="145"/>
      <c r="W837" s="145"/>
      <c r="X837" s="145"/>
      <c r="Y837" s="145"/>
      <c r="Z837" s="145"/>
    </row>
    <row r="838" spans="1:26" ht="15.75" x14ac:dyDescent="0.25">
      <c r="A838" s="145"/>
      <c r="B838" s="145"/>
      <c r="C838" s="145"/>
      <c r="D838" s="145"/>
      <c r="E838" s="145"/>
      <c r="F838" s="145"/>
      <c r="G838" s="145"/>
      <c r="H838" s="145"/>
      <c r="I838" s="145"/>
      <c r="J838" s="145"/>
      <c r="K838" s="145"/>
      <c r="L838" s="145"/>
      <c r="M838" s="145"/>
      <c r="N838" s="145"/>
      <c r="O838" s="145"/>
      <c r="P838" s="145"/>
      <c r="Q838" s="145"/>
      <c r="R838" s="145"/>
      <c r="S838" s="145"/>
      <c r="T838" s="145"/>
      <c r="U838" s="145"/>
      <c r="V838" s="145"/>
      <c r="W838" s="145"/>
      <c r="X838" s="145"/>
      <c r="Y838" s="145"/>
      <c r="Z838" s="145"/>
    </row>
    <row r="839" spans="1:26" ht="15.75" x14ac:dyDescent="0.25">
      <c r="A839" s="145"/>
      <c r="B839" s="145"/>
      <c r="C839" s="145"/>
      <c r="D839" s="145"/>
      <c r="E839" s="145"/>
      <c r="F839" s="145"/>
      <c r="G839" s="145"/>
      <c r="H839" s="145"/>
      <c r="I839" s="145"/>
      <c r="J839" s="145"/>
      <c r="K839" s="145"/>
      <c r="L839" s="145"/>
      <c r="M839" s="145"/>
      <c r="N839" s="145"/>
      <c r="O839" s="145"/>
      <c r="P839" s="145"/>
      <c r="Q839" s="145"/>
      <c r="R839" s="145"/>
      <c r="S839" s="145"/>
      <c r="T839" s="145"/>
      <c r="U839" s="145"/>
      <c r="V839" s="145"/>
      <c r="W839" s="145"/>
      <c r="X839" s="145"/>
      <c r="Y839" s="145"/>
      <c r="Z839" s="145"/>
    </row>
    <row r="840" spans="1:26" ht="15.75" x14ac:dyDescent="0.25">
      <c r="A840" s="145"/>
      <c r="B840" s="145"/>
      <c r="C840" s="145"/>
      <c r="D840" s="145"/>
      <c r="E840" s="145"/>
      <c r="F840" s="145"/>
      <c r="G840" s="145"/>
      <c r="H840" s="145"/>
      <c r="I840" s="145"/>
      <c r="J840" s="145"/>
      <c r="K840" s="145"/>
      <c r="L840" s="145"/>
      <c r="M840" s="145"/>
      <c r="N840" s="145"/>
      <c r="O840" s="145"/>
      <c r="P840" s="145"/>
      <c r="Q840" s="145"/>
      <c r="R840" s="145"/>
      <c r="S840" s="145"/>
      <c r="T840" s="145"/>
      <c r="U840" s="145"/>
      <c r="V840" s="145"/>
      <c r="W840" s="145"/>
      <c r="X840" s="145"/>
      <c r="Y840" s="145"/>
      <c r="Z840" s="145"/>
    </row>
    <row r="841" spans="1:26" ht="15.75" x14ac:dyDescent="0.25">
      <c r="A841" s="145"/>
      <c r="B841" s="145"/>
      <c r="C841" s="145"/>
      <c r="D841" s="145"/>
      <c r="E841" s="145"/>
      <c r="F841" s="145"/>
      <c r="G841" s="145"/>
      <c r="H841" s="145"/>
      <c r="I841" s="145"/>
      <c r="J841" s="145"/>
      <c r="K841" s="145"/>
      <c r="L841" s="145"/>
      <c r="M841" s="145"/>
      <c r="N841" s="145"/>
      <c r="O841" s="145"/>
      <c r="P841" s="145"/>
      <c r="Q841" s="145"/>
      <c r="R841" s="145"/>
      <c r="S841" s="145"/>
      <c r="T841" s="145"/>
      <c r="U841" s="145"/>
      <c r="V841" s="145"/>
      <c r="W841" s="145"/>
      <c r="X841" s="145"/>
      <c r="Y841" s="145"/>
      <c r="Z841" s="145"/>
    </row>
    <row r="842" spans="1:26" ht="15.75" x14ac:dyDescent="0.25">
      <c r="A842" s="145"/>
      <c r="B842" s="145"/>
      <c r="C842" s="145"/>
      <c r="D842" s="145"/>
      <c r="E842" s="145"/>
      <c r="F842" s="145"/>
      <c r="G842" s="145"/>
      <c r="H842" s="145"/>
      <c r="I842" s="145"/>
      <c r="J842" s="145"/>
      <c r="K842" s="145"/>
      <c r="L842" s="145"/>
      <c r="M842" s="145"/>
      <c r="N842" s="145"/>
      <c r="O842" s="145"/>
      <c r="P842" s="145"/>
      <c r="Q842" s="145"/>
      <c r="R842" s="145"/>
      <c r="S842" s="145"/>
      <c r="T842" s="145"/>
      <c r="U842" s="145"/>
      <c r="V842" s="145"/>
      <c r="W842" s="145"/>
      <c r="X842" s="145"/>
      <c r="Y842" s="145"/>
      <c r="Z842" s="145"/>
    </row>
    <row r="843" spans="1:26" ht="15.75" x14ac:dyDescent="0.25">
      <c r="A843" s="145"/>
      <c r="B843" s="145"/>
      <c r="C843" s="145"/>
      <c r="D843" s="145"/>
      <c r="E843" s="145"/>
      <c r="F843" s="145"/>
      <c r="G843" s="145"/>
      <c r="H843" s="145"/>
      <c r="I843" s="145"/>
      <c r="J843" s="145"/>
      <c r="K843" s="145"/>
      <c r="L843" s="145"/>
      <c r="M843" s="145"/>
      <c r="N843" s="145"/>
      <c r="O843" s="145"/>
      <c r="P843" s="145"/>
      <c r="Q843" s="145"/>
      <c r="R843" s="145"/>
      <c r="S843" s="145"/>
      <c r="T843" s="145"/>
      <c r="U843" s="145"/>
      <c r="V843" s="145"/>
      <c r="W843" s="145"/>
      <c r="X843" s="145"/>
      <c r="Y843" s="145"/>
      <c r="Z843" s="145"/>
    </row>
    <row r="844" spans="1:26" ht="15.75" x14ac:dyDescent="0.25">
      <c r="A844" s="145"/>
      <c r="B844" s="145"/>
      <c r="C844" s="145"/>
      <c r="D844" s="145"/>
      <c r="E844" s="145"/>
      <c r="F844" s="145"/>
      <c r="G844" s="145"/>
      <c r="H844" s="145"/>
      <c r="I844" s="145"/>
      <c r="J844" s="145"/>
      <c r="K844" s="145"/>
      <c r="L844" s="145"/>
      <c r="M844" s="145"/>
      <c r="N844" s="145"/>
      <c r="O844" s="145"/>
      <c r="P844" s="145"/>
      <c r="Q844" s="145"/>
      <c r="R844" s="145"/>
      <c r="S844" s="145"/>
      <c r="T844" s="145"/>
      <c r="U844" s="145"/>
      <c r="V844" s="145"/>
      <c r="W844" s="145"/>
      <c r="X844" s="145"/>
      <c r="Y844" s="145"/>
      <c r="Z844" s="145"/>
    </row>
    <row r="845" spans="1:26" ht="15.75" x14ac:dyDescent="0.25">
      <c r="A845" s="145"/>
      <c r="B845" s="145"/>
      <c r="C845" s="145"/>
      <c r="D845" s="145"/>
      <c r="E845" s="145"/>
      <c r="F845" s="145"/>
      <c r="G845" s="145"/>
      <c r="H845" s="145"/>
      <c r="I845" s="145"/>
      <c r="J845" s="145"/>
      <c r="K845" s="145"/>
      <c r="L845" s="145"/>
      <c r="M845" s="145"/>
      <c r="N845" s="145"/>
      <c r="O845" s="145"/>
      <c r="P845" s="145"/>
      <c r="Q845" s="145"/>
      <c r="R845" s="145"/>
      <c r="S845" s="145"/>
      <c r="T845" s="145"/>
      <c r="U845" s="145"/>
      <c r="V845" s="145"/>
      <c r="W845" s="145"/>
      <c r="X845" s="145"/>
      <c r="Y845" s="145"/>
      <c r="Z845" s="145"/>
    </row>
    <row r="846" spans="1:26" ht="15.75" x14ac:dyDescent="0.25">
      <c r="A846" s="145"/>
      <c r="B846" s="145"/>
      <c r="C846" s="145"/>
      <c r="D846" s="145"/>
      <c r="E846" s="145"/>
      <c r="F846" s="145"/>
      <c r="G846" s="145"/>
      <c r="H846" s="145"/>
      <c r="I846" s="145"/>
      <c r="J846" s="145"/>
      <c r="K846" s="145"/>
      <c r="L846" s="145"/>
      <c r="M846" s="145"/>
      <c r="N846" s="145"/>
      <c r="O846" s="145"/>
      <c r="P846" s="145"/>
      <c r="Q846" s="145"/>
      <c r="R846" s="145"/>
      <c r="S846" s="145"/>
      <c r="T846" s="145"/>
      <c r="U846" s="145"/>
      <c r="V846" s="145"/>
      <c r="W846" s="145"/>
      <c r="X846" s="145"/>
      <c r="Y846" s="145"/>
      <c r="Z846" s="145"/>
    </row>
    <row r="847" spans="1:26" ht="15.75" x14ac:dyDescent="0.25">
      <c r="A847" s="145"/>
      <c r="B847" s="145"/>
      <c r="C847" s="145"/>
      <c r="D847" s="145"/>
      <c r="E847" s="145"/>
      <c r="F847" s="145"/>
      <c r="G847" s="145"/>
      <c r="H847" s="145"/>
      <c r="I847" s="145"/>
      <c r="J847" s="145"/>
      <c r="K847" s="145"/>
      <c r="L847" s="145"/>
      <c r="M847" s="145"/>
      <c r="N847" s="145"/>
      <c r="O847" s="145"/>
      <c r="P847" s="145"/>
      <c r="Q847" s="145"/>
      <c r="R847" s="145"/>
      <c r="S847" s="145"/>
      <c r="T847" s="145"/>
      <c r="U847" s="145"/>
      <c r="V847" s="145"/>
      <c r="W847" s="145"/>
      <c r="X847" s="145"/>
      <c r="Y847" s="145"/>
      <c r="Z847" s="145"/>
    </row>
    <row r="848" spans="1:26" ht="15.75" x14ac:dyDescent="0.25">
      <c r="A848" s="145"/>
      <c r="B848" s="145"/>
      <c r="C848" s="145"/>
      <c r="D848" s="145"/>
      <c r="E848" s="145"/>
      <c r="F848" s="145"/>
      <c r="G848" s="145"/>
      <c r="H848" s="145"/>
      <c r="I848" s="145"/>
      <c r="J848" s="145"/>
      <c r="K848" s="145"/>
      <c r="L848" s="145"/>
      <c r="M848" s="145"/>
      <c r="N848" s="145"/>
      <c r="O848" s="145"/>
      <c r="P848" s="145"/>
      <c r="Q848" s="145"/>
      <c r="R848" s="145"/>
      <c r="S848" s="145"/>
      <c r="T848" s="145"/>
      <c r="U848" s="145"/>
      <c r="V848" s="145"/>
      <c r="W848" s="145"/>
      <c r="X848" s="145"/>
      <c r="Y848" s="145"/>
      <c r="Z848" s="145"/>
    </row>
    <row r="849" spans="1:26" ht="15.75" x14ac:dyDescent="0.25">
      <c r="A849" s="145"/>
      <c r="B849" s="145"/>
      <c r="C849" s="145"/>
      <c r="D849" s="145"/>
      <c r="E849" s="145"/>
      <c r="F849" s="145"/>
      <c r="G849" s="145"/>
      <c r="H849" s="145"/>
      <c r="I849" s="145"/>
      <c r="J849" s="145"/>
      <c r="K849" s="145"/>
      <c r="L849" s="145"/>
      <c r="M849" s="145"/>
      <c r="N849" s="145"/>
      <c r="O849" s="145"/>
      <c r="P849" s="145"/>
      <c r="Q849" s="145"/>
      <c r="R849" s="145"/>
      <c r="S849" s="145"/>
      <c r="T849" s="145"/>
      <c r="U849" s="145"/>
      <c r="V849" s="145"/>
      <c r="W849" s="145"/>
      <c r="X849" s="145"/>
      <c r="Y849" s="145"/>
      <c r="Z849" s="145"/>
    </row>
    <row r="850" spans="1:26" ht="15.75" x14ac:dyDescent="0.25">
      <c r="A850" s="145"/>
      <c r="B850" s="145"/>
      <c r="C850" s="145"/>
      <c r="D850" s="145"/>
      <c r="E850" s="145"/>
      <c r="F850" s="145"/>
      <c r="G850" s="145"/>
      <c r="H850" s="145"/>
      <c r="I850" s="145"/>
      <c r="J850" s="145"/>
      <c r="K850" s="145"/>
      <c r="L850" s="145"/>
      <c r="M850" s="145"/>
      <c r="N850" s="145"/>
      <c r="O850" s="145"/>
      <c r="P850" s="145"/>
      <c r="Q850" s="145"/>
      <c r="R850" s="145"/>
      <c r="S850" s="145"/>
      <c r="T850" s="145"/>
      <c r="U850" s="145"/>
      <c r="V850" s="145"/>
      <c r="W850" s="145"/>
      <c r="X850" s="145"/>
      <c r="Y850" s="145"/>
      <c r="Z850" s="145"/>
    </row>
    <row r="851" spans="1:26" ht="15.75" x14ac:dyDescent="0.25">
      <c r="A851" s="145"/>
      <c r="B851" s="145"/>
      <c r="C851" s="145"/>
      <c r="D851" s="145"/>
      <c r="E851" s="145"/>
      <c r="F851" s="145"/>
      <c r="G851" s="145"/>
      <c r="H851" s="145"/>
      <c r="I851" s="145"/>
      <c r="J851" s="145"/>
      <c r="K851" s="145"/>
      <c r="L851" s="145"/>
      <c r="M851" s="145"/>
      <c r="N851" s="145"/>
      <c r="O851" s="145"/>
      <c r="P851" s="145"/>
      <c r="Q851" s="145"/>
      <c r="R851" s="145"/>
      <c r="S851" s="145"/>
      <c r="T851" s="145"/>
      <c r="U851" s="145"/>
      <c r="V851" s="145"/>
      <c r="W851" s="145"/>
      <c r="X851" s="145"/>
      <c r="Y851" s="145"/>
      <c r="Z851" s="145"/>
    </row>
    <row r="852" spans="1:26" ht="15.75" x14ac:dyDescent="0.25">
      <c r="A852" s="145"/>
      <c r="B852" s="145"/>
      <c r="C852" s="145"/>
      <c r="D852" s="145"/>
      <c r="E852" s="145"/>
      <c r="F852" s="145"/>
      <c r="G852" s="145"/>
      <c r="H852" s="145"/>
      <c r="I852" s="145"/>
      <c r="J852" s="145"/>
      <c r="K852" s="145"/>
      <c r="L852" s="145"/>
      <c r="M852" s="145"/>
      <c r="N852" s="145"/>
      <c r="O852" s="145"/>
      <c r="P852" s="145"/>
      <c r="Q852" s="145"/>
      <c r="R852" s="145"/>
      <c r="S852" s="145"/>
      <c r="T852" s="145"/>
      <c r="U852" s="145"/>
      <c r="V852" s="145"/>
      <c r="W852" s="145"/>
      <c r="X852" s="145"/>
      <c r="Y852" s="145"/>
      <c r="Z852" s="145"/>
    </row>
    <row r="853" spans="1:26" ht="15.75" x14ac:dyDescent="0.25">
      <c r="A853" s="145"/>
      <c r="B853" s="145"/>
      <c r="C853" s="145"/>
      <c r="D853" s="145"/>
      <c r="E853" s="145"/>
      <c r="F853" s="145"/>
      <c r="G853" s="145"/>
      <c r="H853" s="145"/>
      <c r="I853" s="145"/>
      <c r="J853" s="145"/>
      <c r="K853" s="145"/>
      <c r="L853" s="145"/>
      <c r="M853" s="145"/>
      <c r="N853" s="145"/>
      <c r="O853" s="145"/>
      <c r="P853" s="145"/>
      <c r="Q853" s="145"/>
      <c r="R853" s="145"/>
      <c r="S853" s="145"/>
      <c r="T853" s="145"/>
      <c r="U853" s="145"/>
      <c r="V853" s="145"/>
      <c r="W853" s="145"/>
      <c r="X853" s="145"/>
      <c r="Y853" s="145"/>
      <c r="Z853" s="145"/>
    </row>
    <row r="854" spans="1:26" ht="15.75" x14ac:dyDescent="0.25">
      <c r="A854" s="145"/>
      <c r="B854" s="145"/>
      <c r="C854" s="145"/>
      <c r="D854" s="145"/>
      <c r="E854" s="145"/>
      <c r="F854" s="145"/>
      <c r="G854" s="145"/>
      <c r="H854" s="145"/>
      <c r="I854" s="145"/>
      <c r="J854" s="145"/>
      <c r="K854" s="145"/>
      <c r="L854" s="145"/>
      <c r="M854" s="145"/>
      <c r="N854" s="145"/>
      <c r="O854" s="145"/>
      <c r="P854" s="145"/>
      <c r="Q854" s="145"/>
      <c r="R854" s="145"/>
      <c r="S854" s="145"/>
      <c r="T854" s="145"/>
      <c r="U854" s="145"/>
      <c r="V854" s="145"/>
      <c r="W854" s="145"/>
      <c r="X854" s="145"/>
      <c r="Y854" s="145"/>
      <c r="Z854" s="145"/>
    </row>
    <row r="855" spans="1:26" ht="15.75" x14ac:dyDescent="0.25">
      <c r="A855" s="145"/>
      <c r="B855" s="145"/>
      <c r="C855" s="145"/>
      <c r="D855" s="145"/>
      <c r="E855" s="145"/>
      <c r="F855" s="145"/>
      <c r="G855" s="145"/>
      <c r="H855" s="145"/>
      <c r="I855" s="145"/>
      <c r="J855" s="145"/>
      <c r="K855" s="145"/>
      <c r="L855" s="145"/>
      <c r="M855" s="145"/>
      <c r="N855" s="145"/>
      <c r="O855" s="145"/>
      <c r="P855" s="145"/>
      <c r="Q855" s="145"/>
      <c r="R855" s="145"/>
      <c r="S855" s="145"/>
      <c r="T855" s="145"/>
      <c r="U855" s="145"/>
      <c r="V855" s="145"/>
      <c r="W855" s="145"/>
      <c r="X855" s="145"/>
      <c r="Y855" s="145"/>
      <c r="Z855" s="145"/>
    </row>
    <row r="856" spans="1:26" ht="15.75" x14ac:dyDescent="0.25">
      <c r="A856" s="145"/>
      <c r="B856" s="145"/>
      <c r="C856" s="145"/>
      <c r="D856" s="145"/>
      <c r="E856" s="145"/>
      <c r="F856" s="145"/>
      <c r="G856" s="145"/>
      <c r="H856" s="145"/>
      <c r="I856" s="145"/>
      <c r="J856" s="145"/>
      <c r="K856" s="145"/>
      <c r="L856" s="145"/>
      <c r="M856" s="145"/>
      <c r="N856" s="145"/>
      <c r="O856" s="145"/>
      <c r="P856" s="145"/>
      <c r="Q856" s="145"/>
      <c r="R856" s="145"/>
      <c r="S856" s="145"/>
      <c r="T856" s="145"/>
      <c r="U856" s="145"/>
      <c r="V856" s="145"/>
      <c r="W856" s="145"/>
      <c r="X856" s="145"/>
      <c r="Y856" s="145"/>
      <c r="Z856" s="145"/>
    </row>
    <row r="857" spans="1:26" ht="15.75" x14ac:dyDescent="0.25">
      <c r="A857" s="145"/>
      <c r="B857" s="145"/>
      <c r="C857" s="145"/>
      <c r="D857" s="145"/>
      <c r="E857" s="145"/>
      <c r="F857" s="145"/>
      <c r="G857" s="145"/>
      <c r="H857" s="145"/>
      <c r="I857" s="145"/>
      <c r="J857" s="145"/>
      <c r="K857" s="145"/>
      <c r="L857" s="145"/>
      <c r="M857" s="145"/>
      <c r="N857" s="145"/>
      <c r="O857" s="145"/>
      <c r="P857" s="145"/>
      <c r="Q857" s="145"/>
      <c r="R857" s="145"/>
      <c r="S857" s="145"/>
      <c r="T857" s="145"/>
      <c r="U857" s="145"/>
      <c r="V857" s="145"/>
      <c r="W857" s="145"/>
      <c r="X857" s="145"/>
      <c r="Y857" s="145"/>
      <c r="Z857" s="145"/>
    </row>
    <row r="858" spans="1:26" ht="15.75" x14ac:dyDescent="0.25">
      <c r="A858" s="145"/>
      <c r="B858" s="145"/>
      <c r="C858" s="145"/>
      <c r="D858" s="145"/>
      <c r="E858" s="145"/>
      <c r="F858" s="145"/>
      <c r="G858" s="145"/>
      <c r="H858" s="145"/>
      <c r="I858" s="145"/>
      <c r="J858" s="145"/>
      <c r="K858" s="145"/>
      <c r="L858" s="145"/>
      <c r="M858" s="145"/>
      <c r="N858" s="145"/>
      <c r="O858" s="145"/>
      <c r="P858" s="145"/>
      <c r="Q858" s="145"/>
      <c r="R858" s="145"/>
      <c r="S858" s="145"/>
      <c r="T858" s="145"/>
      <c r="U858" s="145"/>
      <c r="V858" s="145"/>
      <c r="W858" s="145"/>
      <c r="X858" s="145"/>
      <c r="Y858" s="145"/>
      <c r="Z858" s="145"/>
    </row>
    <row r="859" spans="1:26" ht="15.75" x14ac:dyDescent="0.25">
      <c r="A859" s="145"/>
      <c r="B859" s="145"/>
      <c r="C859" s="145"/>
      <c r="D859" s="145"/>
      <c r="E859" s="145"/>
      <c r="F859" s="145"/>
      <c r="G859" s="145"/>
      <c r="H859" s="145"/>
      <c r="I859" s="145"/>
      <c r="J859" s="145"/>
      <c r="K859" s="145"/>
      <c r="L859" s="145"/>
      <c r="M859" s="145"/>
      <c r="N859" s="145"/>
      <c r="O859" s="145"/>
      <c r="P859" s="145"/>
      <c r="Q859" s="145"/>
      <c r="R859" s="145"/>
      <c r="S859" s="145"/>
      <c r="T859" s="145"/>
      <c r="U859" s="145"/>
      <c r="V859" s="145"/>
      <c r="W859" s="145"/>
      <c r="X859" s="145"/>
      <c r="Y859" s="145"/>
      <c r="Z859" s="145"/>
    </row>
    <row r="860" spans="1:26" ht="15.75" x14ac:dyDescent="0.25">
      <c r="A860" s="145"/>
      <c r="B860" s="145"/>
      <c r="C860" s="145"/>
      <c r="D860" s="145"/>
      <c r="E860" s="145"/>
      <c r="F860" s="145"/>
      <c r="G860" s="145"/>
      <c r="H860" s="145"/>
      <c r="I860" s="145"/>
      <c r="J860" s="145"/>
      <c r="K860" s="145"/>
      <c r="L860" s="145"/>
      <c r="M860" s="145"/>
      <c r="N860" s="145"/>
      <c r="O860" s="145"/>
      <c r="P860" s="145"/>
      <c r="Q860" s="145"/>
      <c r="R860" s="145"/>
      <c r="S860" s="145"/>
      <c r="T860" s="145"/>
      <c r="U860" s="145"/>
      <c r="V860" s="145"/>
      <c r="W860" s="145"/>
      <c r="X860" s="145"/>
      <c r="Y860" s="145"/>
      <c r="Z860" s="145"/>
    </row>
    <row r="861" spans="1:26" ht="15.75" x14ac:dyDescent="0.25">
      <c r="A861" s="145"/>
      <c r="B861" s="145"/>
      <c r="C861" s="145"/>
      <c r="D861" s="145"/>
      <c r="E861" s="145"/>
      <c r="F861" s="145"/>
      <c r="G861" s="145"/>
      <c r="H861" s="145"/>
      <c r="I861" s="145"/>
      <c r="J861" s="145"/>
      <c r="K861" s="145"/>
      <c r="L861" s="145"/>
      <c r="M861" s="145"/>
      <c r="N861" s="145"/>
      <c r="O861" s="145"/>
      <c r="P861" s="145"/>
      <c r="Q861" s="145"/>
      <c r="R861" s="145"/>
      <c r="S861" s="145"/>
      <c r="T861" s="145"/>
      <c r="U861" s="145"/>
      <c r="V861" s="145"/>
      <c r="W861" s="145"/>
      <c r="X861" s="145"/>
      <c r="Y861" s="145"/>
      <c r="Z861" s="145"/>
    </row>
    <row r="862" spans="1:26" ht="15.75" x14ac:dyDescent="0.25">
      <c r="A862" s="145"/>
      <c r="B862" s="145"/>
      <c r="C862" s="145"/>
      <c r="D862" s="145"/>
      <c r="E862" s="145"/>
      <c r="F862" s="145"/>
      <c r="G862" s="145"/>
      <c r="H862" s="145"/>
      <c r="I862" s="145"/>
      <c r="J862" s="145"/>
      <c r="K862" s="145"/>
      <c r="L862" s="145"/>
      <c r="M862" s="145"/>
      <c r="N862" s="145"/>
      <c r="O862" s="145"/>
      <c r="P862" s="145"/>
      <c r="Q862" s="145"/>
      <c r="R862" s="145"/>
      <c r="S862" s="145"/>
      <c r="T862" s="145"/>
      <c r="U862" s="145"/>
      <c r="V862" s="145"/>
      <c r="W862" s="145"/>
      <c r="X862" s="145"/>
      <c r="Y862" s="145"/>
      <c r="Z862" s="145"/>
    </row>
    <row r="863" spans="1:26" ht="15.75" x14ac:dyDescent="0.25">
      <c r="A863" s="145"/>
      <c r="B863" s="145"/>
      <c r="C863" s="145"/>
      <c r="D863" s="145"/>
      <c r="E863" s="145"/>
      <c r="F863" s="145"/>
      <c r="G863" s="145"/>
      <c r="H863" s="145"/>
      <c r="I863" s="145"/>
      <c r="J863" s="145"/>
      <c r="K863" s="145"/>
      <c r="L863" s="145"/>
      <c r="M863" s="145"/>
      <c r="N863" s="145"/>
      <c r="O863" s="145"/>
      <c r="P863" s="145"/>
      <c r="Q863" s="145"/>
      <c r="R863" s="145"/>
      <c r="S863" s="145"/>
      <c r="T863" s="145"/>
      <c r="U863" s="145"/>
      <c r="V863" s="145"/>
      <c r="W863" s="145"/>
      <c r="X863" s="145"/>
      <c r="Y863" s="145"/>
      <c r="Z863" s="145"/>
    </row>
    <row r="864" spans="1:26" ht="15.75" x14ac:dyDescent="0.25">
      <c r="A864" s="145"/>
      <c r="B864" s="145"/>
      <c r="C864" s="145"/>
      <c r="D864" s="145"/>
      <c r="E864" s="145"/>
      <c r="F864" s="145"/>
      <c r="G864" s="145"/>
      <c r="H864" s="145"/>
      <c r="I864" s="145"/>
      <c r="J864" s="145"/>
      <c r="K864" s="145"/>
      <c r="L864" s="145"/>
      <c r="M864" s="145"/>
      <c r="N864" s="145"/>
      <c r="O864" s="145"/>
      <c r="P864" s="145"/>
      <c r="Q864" s="145"/>
      <c r="R864" s="145"/>
      <c r="S864" s="145"/>
      <c r="T864" s="145"/>
      <c r="U864" s="145"/>
      <c r="V864" s="145"/>
      <c r="W864" s="145"/>
      <c r="X864" s="145"/>
      <c r="Y864" s="145"/>
      <c r="Z864" s="145"/>
    </row>
    <row r="865" spans="1:26" ht="15.75" x14ac:dyDescent="0.25">
      <c r="A865" s="145"/>
      <c r="B865" s="145"/>
      <c r="C865" s="145"/>
      <c r="D865" s="145"/>
      <c r="E865" s="145"/>
      <c r="F865" s="145"/>
      <c r="G865" s="145"/>
      <c r="H865" s="145"/>
      <c r="I865" s="145"/>
      <c r="J865" s="145"/>
      <c r="K865" s="145"/>
      <c r="L865" s="145"/>
      <c r="M865" s="145"/>
      <c r="N865" s="145"/>
      <c r="O865" s="145"/>
      <c r="P865" s="145"/>
      <c r="Q865" s="145"/>
      <c r="R865" s="145"/>
      <c r="S865" s="145"/>
      <c r="T865" s="145"/>
      <c r="U865" s="145"/>
      <c r="V865" s="145"/>
      <c r="W865" s="145"/>
      <c r="X865" s="145"/>
      <c r="Y865" s="145"/>
      <c r="Z865" s="145"/>
    </row>
    <row r="866" spans="1:26" ht="15.75" x14ac:dyDescent="0.25">
      <c r="A866" s="145"/>
      <c r="B866" s="145"/>
      <c r="C866" s="145"/>
      <c r="D866" s="145"/>
      <c r="E866" s="145"/>
      <c r="F866" s="145"/>
      <c r="G866" s="145"/>
      <c r="H866" s="145"/>
      <c r="I866" s="145"/>
      <c r="J866" s="145"/>
      <c r="K866" s="145"/>
      <c r="L866" s="145"/>
      <c r="M866" s="145"/>
      <c r="N866" s="145"/>
      <c r="O866" s="145"/>
      <c r="P866" s="145"/>
      <c r="Q866" s="145"/>
      <c r="R866" s="145"/>
      <c r="S866" s="145"/>
      <c r="T866" s="145"/>
      <c r="U866" s="145"/>
      <c r="V866" s="145"/>
      <c r="W866" s="145"/>
      <c r="X866" s="145"/>
      <c r="Y866" s="145"/>
      <c r="Z866" s="145"/>
    </row>
    <row r="867" spans="1:26" ht="15.75" x14ac:dyDescent="0.25">
      <c r="A867" s="145"/>
      <c r="B867" s="145"/>
      <c r="C867" s="145"/>
      <c r="D867" s="145"/>
      <c r="E867" s="145"/>
      <c r="F867" s="145"/>
      <c r="G867" s="145"/>
      <c r="H867" s="145"/>
      <c r="I867" s="145"/>
      <c r="J867" s="145"/>
      <c r="K867" s="145"/>
      <c r="L867" s="145"/>
      <c r="M867" s="145"/>
      <c r="N867" s="145"/>
      <c r="O867" s="145"/>
      <c r="P867" s="145"/>
      <c r="Q867" s="145"/>
      <c r="R867" s="145"/>
      <c r="S867" s="145"/>
      <c r="T867" s="145"/>
      <c r="U867" s="145"/>
      <c r="V867" s="145"/>
      <c r="W867" s="145"/>
      <c r="X867" s="145"/>
      <c r="Y867" s="145"/>
      <c r="Z867" s="145"/>
    </row>
    <row r="868" spans="1:26" ht="15.75" x14ac:dyDescent="0.25">
      <c r="A868" s="145"/>
      <c r="B868" s="145"/>
      <c r="C868" s="145"/>
      <c r="D868" s="145"/>
      <c r="E868" s="145"/>
      <c r="F868" s="145"/>
      <c r="G868" s="145"/>
      <c r="H868" s="145"/>
      <c r="I868" s="145"/>
      <c r="J868" s="145"/>
      <c r="K868" s="145"/>
      <c r="L868" s="145"/>
      <c r="M868" s="145"/>
      <c r="N868" s="145"/>
      <c r="O868" s="145"/>
      <c r="P868" s="145"/>
      <c r="Q868" s="145"/>
      <c r="R868" s="145"/>
      <c r="S868" s="145"/>
      <c r="T868" s="145"/>
      <c r="U868" s="145"/>
      <c r="V868" s="145"/>
      <c r="W868" s="145"/>
      <c r="X868" s="145"/>
      <c r="Y868" s="145"/>
      <c r="Z868" s="145"/>
    </row>
    <row r="869" spans="1:26" ht="15.75" x14ac:dyDescent="0.25">
      <c r="A869" s="145"/>
      <c r="B869" s="145"/>
      <c r="C869" s="145"/>
      <c r="D869" s="145"/>
      <c r="E869" s="145"/>
      <c r="F869" s="145"/>
      <c r="G869" s="145"/>
      <c r="H869" s="145"/>
      <c r="I869" s="145"/>
      <c r="J869" s="145"/>
      <c r="K869" s="145"/>
      <c r="L869" s="145"/>
      <c r="M869" s="145"/>
      <c r="N869" s="145"/>
      <c r="O869" s="145"/>
      <c r="P869" s="145"/>
      <c r="Q869" s="145"/>
      <c r="R869" s="145"/>
      <c r="S869" s="145"/>
      <c r="T869" s="145"/>
      <c r="U869" s="145"/>
      <c r="V869" s="145"/>
      <c r="W869" s="145"/>
      <c r="X869" s="145"/>
      <c r="Y869" s="145"/>
      <c r="Z869" s="145"/>
    </row>
    <row r="870" spans="1:26" ht="15.75" x14ac:dyDescent="0.25">
      <c r="A870" s="145"/>
      <c r="B870" s="145"/>
      <c r="C870" s="145"/>
      <c r="D870" s="145"/>
      <c r="E870" s="145"/>
      <c r="F870" s="145"/>
      <c r="G870" s="145"/>
      <c r="H870" s="145"/>
      <c r="I870" s="145"/>
      <c r="J870" s="145"/>
      <c r="K870" s="145"/>
      <c r="L870" s="145"/>
      <c r="M870" s="145"/>
      <c r="N870" s="145"/>
      <c r="O870" s="145"/>
      <c r="P870" s="145"/>
      <c r="Q870" s="145"/>
      <c r="R870" s="145"/>
      <c r="S870" s="145"/>
      <c r="T870" s="145"/>
      <c r="U870" s="145"/>
      <c r="V870" s="145"/>
      <c r="W870" s="145"/>
      <c r="X870" s="145"/>
      <c r="Y870" s="145"/>
      <c r="Z870" s="145"/>
    </row>
    <row r="871" spans="1:26" ht="15.75" x14ac:dyDescent="0.25">
      <c r="A871" s="145"/>
      <c r="B871" s="145"/>
      <c r="C871" s="145"/>
      <c r="D871" s="145"/>
      <c r="E871" s="145"/>
      <c r="F871" s="145"/>
      <c r="G871" s="145"/>
      <c r="H871" s="145"/>
      <c r="I871" s="145"/>
      <c r="J871" s="145"/>
      <c r="K871" s="145"/>
      <c r="L871" s="145"/>
      <c r="M871" s="145"/>
      <c r="N871" s="145"/>
      <c r="O871" s="145"/>
      <c r="P871" s="145"/>
      <c r="Q871" s="145"/>
      <c r="R871" s="145"/>
      <c r="S871" s="145"/>
      <c r="T871" s="145"/>
      <c r="U871" s="145"/>
      <c r="V871" s="145"/>
      <c r="W871" s="145"/>
      <c r="X871" s="145"/>
      <c r="Y871" s="145"/>
      <c r="Z871" s="145"/>
    </row>
    <row r="872" spans="1:26" ht="15.75" x14ac:dyDescent="0.25">
      <c r="A872" s="145"/>
      <c r="B872" s="145"/>
      <c r="C872" s="145"/>
      <c r="D872" s="145"/>
      <c r="E872" s="145"/>
      <c r="F872" s="145"/>
      <c r="G872" s="145"/>
      <c r="H872" s="145"/>
      <c r="I872" s="145"/>
      <c r="J872" s="145"/>
      <c r="K872" s="145"/>
      <c r="L872" s="145"/>
      <c r="M872" s="145"/>
      <c r="N872" s="145"/>
      <c r="O872" s="145"/>
      <c r="P872" s="145"/>
      <c r="Q872" s="145"/>
      <c r="R872" s="145"/>
      <c r="S872" s="145"/>
      <c r="T872" s="145"/>
      <c r="U872" s="145"/>
      <c r="V872" s="145"/>
      <c r="W872" s="145"/>
      <c r="X872" s="145"/>
      <c r="Y872" s="145"/>
      <c r="Z872" s="145"/>
    </row>
    <row r="873" spans="1:26" ht="15.75" x14ac:dyDescent="0.25">
      <c r="A873" s="145"/>
      <c r="B873" s="145"/>
      <c r="C873" s="145"/>
      <c r="D873" s="145"/>
      <c r="E873" s="145"/>
      <c r="F873" s="145"/>
      <c r="G873" s="145"/>
      <c r="H873" s="145"/>
      <c r="I873" s="145"/>
      <c r="J873" s="145"/>
      <c r="K873" s="145"/>
      <c r="L873" s="145"/>
      <c r="M873" s="145"/>
      <c r="N873" s="145"/>
      <c r="O873" s="145"/>
      <c r="P873" s="145"/>
      <c r="Q873" s="145"/>
      <c r="R873" s="145"/>
      <c r="S873" s="145"/>
      <c r="T873" s="145"/>
      <c r="U873" s="145"/>
      <c r="V873" s="145"/>
      <c r="W873" s="145"/>
      <c r="X873" s="145"/>
      <c r="Y873" s="145"/>
      <c r="Z873" s="145"/>
    </row>
    <row r="874" spans="1:26" ht="15.75" x14ac:dyDescent="0.25">
      <c r="A874" s="145"/>
      <c r="B874" s="145"/>
      <c r="C874" s="145"/>
      <c r="D874" s="145"/>
      <c r="E874" s="145"/>
      <c r="F874" s="145"/>
      <c r="G874" s="145"/>
      <c r="H874" s="145"/>
      <c r="I874" s="145"/>
      <c r="J874" s="145"/>
      <c r="K874" s="145"/>
      <c r="L874" s="145"/>
      <c r="M874" s="145"/>
      <c r="N874" s="145"/>
      <c r="O874" s="145"/>
      <c r="P874" s="145"/>
      <c r="Q874" s="145"/>
      <c r="R874" s="145"/>
      <c r="S874" s="145"/>
      <c r="T874" s="145"/>
      <c r="U874" s="145"/>
      <c r="V874" s="145"/>
      <c r="W874" s="145"/>
      <c r="X874" s="145"/>
      <c r="Y874" s="145"/>
      <c r="Z874" s="145"/>
    </row>
    <row r="875" spans="1:26" ht="15.75" x14ac:dyDescent="0.25">
      <c r="A875" s="145"/>
      <c r="B875" s="145"/>
      <c r="C875" s="145"/>
      <c r="D875" s="145"/>
      <c r="E875" s="145"/>
      <c r="F875" s="145"/>
      <c r="G875" s="145"/>
      <c r="H875" s="145"/>
      <c r="I875" s="145"/>
      <c r="J875" s="145"/>
      <c r="K875" s="145"/>
      <c r="L875" s="145"/>
      <c r="M875" s="145"/>
      <c r="N875" s="145"/>
      <c r="O875" s="145"/>
      <c r="P875" s="145"/>
      <c r="Q875" s="145"/>
      <c r="R875" s="145"/>
      <c r="S875" s="145"/>
      <c r="T875" s="145"/>
      <c r="U875" s="145"/>
      <c r="V875" s="145"/>
      <c r="W875" s="145"/>
      <c r="X875" s="145"/>
      <c r="Y875" s="145"/>
      <c r="Z875" s="145"/>
    </row>
    <row r="876" spans="1:26" ht="15.75" x14ac:dyDescent="0.25">
      <c r="A876" s="145"/>
      <c r="B876" s="145"/>
      <c r="C876" s="145"/>
      <c r="D876" s="145"/>
      <c r="E876" s="145"/>
      <c r="F876" s="145"/>
      <c r="G876" s="145"/>
      <c r="H876" s="145"/>
      <c r="I876" s="145"/>
      <c r="J876" s="145"/>
      <c r="K876" s="145"/>
      <c r="L876" s="145"/>
      <c r="M876" s="145"/>
      <c r="N876" s="145"/>
      <c r="O876" s="145"/>
      <c r="P876" s="145"/>
      <c r="Q876" s="145"/>
      <c r="R876" s="145"/>
      <c r="S876" s="145"/>
      <c r="T876" s="145"/>
      <c r="U876" s="145"/>
      <c r="V876" s="145"/>
      <c r="W876" s="145"/>
      <c r="X876" s="145"/>
      <c r="Y876" s="145"/>
      <c r="Z876" s="145"/>
    </row>
    <row r="877" spans="1:26" ht="15.75" x14ac:dyDescent="0.25">
      <c r="A877" s="145"/>
      <c r="B877" s="145"/>
      <c r="C877" s="145"/>
      <c r="D877" s="145"/>
      <c r="E877" s="145"/>
      <c r="F877" s="145"/>
      <c r="G877" s="145"/>
      <c r="H877" s="145"/>
      <c r="I877" s="145"/>
      <c r="J877" s="145"/>
      <c r="K877" s="145"/>
      <c r="L877" s="145"/>
      <c r="M877" s="145"/>
      <c r="N877" s="145"/>
      <c r="O877" s="145"/>
      <c r="P877" s="145"/>
      <c r="Q877" s="145"/>
      <c r="R877" s="145"/>
      <c r="S877" s="145"/>
      <c r="T877" s="145"/>
      <c r="U877" s="145"/>
      <c r="V877" s="145"/>
      <c r="W877" s="145"/>
      <c r="X877" s="145"/>
      <c r="Y877" s="145"/>
      <c r="Z877" s="145"/>
    </row>
    <row r="878" spans="1:26" ht="15.75" x14ac:dyDescent="0.25">
      <c r="A878" s="145"/>
      <c r="B878" s="145"/>
      <c r="C878" s="145"/>
      <c r="D878" s="145"/>
      <c r="E878" s="145"/>
      <c r="F878" s="145"/>
      <c r="G878" s="145"/>
      <c r="H878" s="145"/>
      <c r="I878" s="145"/>
      <c r="J878" s="145"/>
      <c r="K878" s="145"/>
      <c r="L878" s="145"/>
      <c r="M878" s="145"/>
      <c r="N878" s="145"/>
      <c r="O878" s="145"/>
      <c r="P878" s="145"/>
      <c r="Q878" s="145"/>
      <c r="R878" s="145"/>
      <c r="S878" s="145"/>
      <c r="T878" s="145"/>
      <c r="U878" s="145"/>
      <c r="V878" s="145"/>
      <c r="W878" s="145"/>
      <c r="X878" s="145"/>
      <c r="Y878" s="145"/>
      <c r="Z878" s="145"/>
    </row>
    <row r="879" spans="1:26" ht="15.75" x14ac:dyDescent="0.25">
      <c r="A879" s="145"/>
      <c r="B879" s="145"/>
      <c r="C879" s="145"/>
      <c r="D879" s="145"/>
      <c r="E879" s="145"/>
      <c r="F879" s="145"/>
      <c r="G879" s="145"/>
      <c r="H879" s="145"/>
      <c r="I879" s="145"/>
      <c r="J879" s="145"/>
      <c r="K879" s="145"/>
      <c r="L879" s="145"/>
      <c r="M879" s="145"/>
      <c r="N879" s="145"/>
      <c r="O879" s="145"/>
      <c r="P879" s="145"/>
      <c r="Q879" s="145"/>
      <c r="R879" s="145"/>
      <c r="S879" s="145"/>
      <c r="T879" s="145"/>
      <c r="U879" s="145"/>
      <c r="V879" s="145"/>
      <c r="W879" s="145"/>
      <c r="X879" s="145"/>
      <c r="Y879" s="145"/>
      <c r="Z879" s="145"/>
    </row>
    <row r="880" spans="1:26" ht="15.75" x14ac:dyDescent="0.25">
      <c r="A880" s="145"/>
      <c r="B880" s="145"/>
      <c r="C880" s="145"/>
      <c r="D880" s="145"/>
      <c r="E880" s="145"/>
      <c r="F880" s="145"/>
      <c r="G880" s="145"/>
      <c r="H880" s="145"/>
      <c r="I880" s="145"/>
      <c r="J880" s="145"/>
      <c r="K880" s="145"/>
      <c r="L880" s="145"/>
      <c r="M880" s="145"/>
      <c r="N880" s="145"/>
      <c r="O880" s="145"/>
      <c r="P880" s="145"/>
      <c r="Q880" s="145"/>
      <c r="R880" s="145"/>
      <c r="S880" s="145"/>
      <c r="T880" s="145"/>
      <c r="U880" s="145"/>
      <c r="V880" s="145"/>
      <c r="W880" s="145"/>
      <c r="X880" s="145"/>
      <c r="Y880" s="145"/>
      <c r="Z880" s="145"/>
    </row>
    <row r="881" spans="1:26" ht="15.75" x14ac:dyDescent="0.25">
      <c r="A881" s="145"/>
      <c r="B881" s="145"/>
      <c r="C881" s="145"/>
      <c r="D881" s="145"/>
      <c r="E881" s="145"/>
      <c r="F881" s="145"/>
      <c r="G881" s="145"/>
      <c r="H881" s="145"/>
      <c r="I881" s="145"/>
      <c r="J881" s="145"/>
      <c r="K881" s="145"/>
      <c r="L881" s="145"/>
      <c r="M881" s="145"/>
      <c r="N881" s="145"/>
      <c r="O881" s="145"/>
      <c r="P881" s="145"/>
      <c r="Q881" s="145"/>
      <c r="R881" s="145"/>
      <c r="S881" s="145"/>
      <c r="T881" s="145"/>
      <c r="U881" s="145"/>
      <c r="V881" s="145"/>
      <c r="W881" s="145"/>
      <c r="X881" s="145"/>
      <c r="Y881" s="145"/>
      <c r="Z881" s="145"/>
    </row>
    <row r="882" spans="1:26" ht="15.75" x14ac:dyDescent="0.25">
      <c r="A882" s="145"/>
      <c r="B882" s="145"/>
      <c r="C882" s="145"/>
      <c r="D882" s="145"/>
      <c r="E882" s="145"/>
      <c r="F882" s="145"/>
      <c r="G882" s="145"/>
      <c r="H882" s="145"/>
      <c r="I882" s="145"/>
      <c r="J882" s="145"/>
      <c r="K882" s="145"/>
      <c r="L882" s="145"/>
      <c r="M882" s="145"/>
      <c r="N882" s="145"/>
      <c r="O882" s="145"/>
      <c r="P882" s="145"/>
      <c r="Q882" s="145"/>
      <c r="R882" s="145"/>
      <c r="S882" s="145"/>
      <c r="T882" s="145"/>
      <c r="U882" s="145"/>
      <c r="V882" s="145"/>
      <c r="W882" s="145"/>
      <c r="X882" s="145"/>
      <c r="Y882" s="145"/>
      <c r="Z882" s="145"/>
    </row>
    <row r="883" spans="1:26" ht="15.75" x14ac:dyDescent="0.25">
      <c r="A883" s="145"/>
      <c r="B883" s="145"/>
      <c r="C883" s="145"/>
      <c r="D883" s="145"/>
      <c r="E883" s="145"/>
      <c r="F883" s="145"/>
      <c r="G883" s="145"/>
      <c r="H883" s="145"/>
      <c r="I883" s="145"/>
      <c r="J883" s="145"/>
      <c r="K883" s="145"/>
      <c r="L883" s="145"/>
      <c r="M883" s="145"/>
      <c r="N883" s="145"/>
      <c r="O883" s="145"/>
      <c r="P883" s="145"/>
      <c r="Q883" s="145"/>
      <c r="R883" s="145"/>
      <c r="S883" s="145"/>
      <c r="T883" s="145"/>
      <c r="U883" s="145"/>
      <c r="V883" s="145"/>
      <c r="W883" s="145"/>
      <c r="X883" s="145"/>
      <c r="Y883" s="145"/>
      <c r="Z883" s="145"/>
    </row>
    <row r="884" spans="1:26" ht="15.75" x14ac:dyDescent="0.25">
      <c r="A884" s="145"/>
      <c r="B884" s="145"/>
      <c r="C884" s="145"/>
      <c r="D884" s="145"/>
      <c r="E884" s="145"/>
      <c r="F884" s="145"/>
      <c r="G884" s="145"/>
      <c r="H884" s="145"/>
      <c r="I884" s="145"/>
      <c r="J884" s="145"/>
      <c r="K884" s="145"/>
      <c r="L884" s="145"/>
      <c r="M884" s="145"/>
      <c r="N884" s="145"/>
      <c r="O884" s="145"/>
      <c r="P884" s="145"/>
      <c r="Q884" s="145"/>
      <c r="R884" s="145"/>
      <c r="S884" s="145"/>
      <c r="T884" s="145"/>
      <c r="U884" s="145"/>
      <c r="V884" s="145"/>
      <c r="W884" s="145"/>
      <c r="X884" s="145"/>
      <c r="Y884" s="145"/>
      <c r="Z884" s="145"/>
    </row>
    <row r="885" spans="1:26" ht="15.75" x14ac:dyDescent="0.25">
      <c r="A885" s="145"/>
      <c r="B885" s="145"/>
      <c r="C885" s="145"/>
      <c r="D885" s="145"/>
      <c r="E885" s="145"/>
      <c r="F885" s="145"/>
      <c r="G885" s="145"/>
      <c r="H885" s="145"/>
      <c r="I885" s="145"/>
      <c r="J885" s="145"/>
      <c r="K885" s="145"/>
      <c r="L885" s="145"/>
      <c r="M885" s="145"/>
      <c r="N885" s="145"/>
      <c r="O885" s="145"/>
      <c r="P885" s="145"/>
      <c r="Q885" s="145"/>
      <c r="R885" s="145"/>
      <c r="S885" s="145"/>
      <c r="T885" s="145"/>
      <c r="U885" s="145"/>
      <c r="V885" s="145"/>
      <c r="W885" s="145"/>
      <c r="X885" s="145"/>
      <c r="Y885" s="145"/>
      <c r="Z885" s="145"/>
    </row>
    <row r="886" spans="1:26" ht="15.75" x14ac:dyDescent="0.25">
      <c r="A886" s="145"/>
      <c r="B886" s="145"/>
      <c r="C886" s="145"/>
      <c r="D886" s="145"/>
      <c r="E886" s="145"/>
      <c r="F886" s="145"/>
      <c r="G886" s="145"/>
      <c r="H886" s="145"/>
      <c r="I886" s="145"/>
      <c r="J886" s="145"/>
      <c r="K886" s="145"/>
      <c r="L886" s="145"/>
      <c r="M886" s="145"/>
      <c r="N886" s="145"/>
      <c r="O886" s="145"/>
      <c r="P886" s="145"/>
      <c r="Q886" s="145"/>
      <c r="R886" s="145"/>
      <c r="S886" s="145"/>
      <c r="T886" s="145"/>
      <c r="U886" s="145"/>
      <c r="V886" s="145"/>
      <c r="W886" s="145"/>
      <c r="X886" s="145"/>
      <c r="Y886" s="145"/>
      <c r="Z886" s="145"/>
    </row>
    <row r="887" spans="1:26" ht="15.75" x14ac:dyDescent="0.25">
      <c r="A887" s="145"/>
      <c r="B887" s="145"/>
      <c r="C887" s="145"/>
      <c r="D887" s="145"/>
      <c r="E887" s="145"/>
      <c r="F887" s="145"/>
      <c r="G887" s="145"/>
      <c r="H887" s="145"/>
      <c r="I887" s="145"/>
      <c r="J887" s="145"/>
      <c r="K887" s="145"/>
      <c r="L887" s="145"/>
      <c r="M887" s="145"/>
      <c r="N887" s="145"/>
      <c r="O887" s="145"/>
      <c r="P887" s="145"/>
      <c r="Q887" s="145"/>
      <c r="R887" s="145"/>
      <c r="S887" s="145"/>
      <c r="T887" s="145"/>
      <c r="U887" s="145"/>
      <c r="V887" s="145"/>
      <c r="W887" s="145"/>
      <c r="X887" s="145"/>
      <c r="Y887" s="145"/>
      <c r="Z887" s="145"/>
    </row>
    <row r="888" spans="1:26" ht="15.75" x14ac:dyDescent="0.25">
      <c r="A888" s="145"/>
      <c r="B888" s="145"/>
      <c r="C888" s="145"/>
      <c r="D888" s="145"/>
      <c r="E888" s="145"/>
      <c r="F888" s="145"/>
      <c r="G888" s="145"/>
      <c r="H888" s="145"/>
      <c r="I888" s="145"/>
      <c r="J888" s="145"/>
      <c r="K888" s="145"/>
      <c r="L888" s="145"/>
      <c r="M888" s="145"/>
      <c r="N888" s="145"/>
      <c r="O888" s="145"/>
      <c r="P888" s="145"/>
      <c r="Q888" s="145"/>
      <c r="R888" s="145"/>
      <c r="S888" s="145"/>
      <c r="T888" s="145"/>
      <c r="U888" s="145"/>
      <c r="V888" s="145"/>
      <c r="W888" s="145"/>
      <c r="X888" s="145"/>
      <c r="Y888" s="145"/>
      <c r="Z888" s="145"/>
    </row>
    <row r="889" spans="1:26" ht="15.75" x14ac:dyDescent="0.25">
      <c r="A889" s="145"/>
      <c r="B889" s="145"/>
      <c r="C889" s="145"/>
      <c r="D889" s="145"/>
      <c r="E889" s="145"/>
      <c r="F889" s="145"/>
      <c r="G889" s="145"/>
      <c r="H889" s="145"/>
      <c r="I889" s="145"/>
      <c r="J889" s="145"/>
      <c r="K889" s="145"/>
      <c r="L889" s="145"/>
      <c r="M889" s="145"/>
      <c r="N889" s="145"/>
      <c r="O889" s="145"/>
      <c r="P889" s="145"/>
      <c r="Q889" s="145"/>
      <c r="R889" s="145"/>
      <c r="S889" s="145"/>
      <c r="T889" s="145"/>
      <c r="U889" s="145"/>
      <c r="V889" s="145"/>
      <c r="W889" s="145"/>
      <c r="X889" s="145"/>
      <c r="Y889" s="145"/>
      <c r="Z889" s="145"/>
    </row>
    <row r="890" spans="1:26" ht="15.75" x14ac:dyDescent="0.25">
      <c r="A890" s="145"/>
      <c r="B890" s="145"/>
      <c r="C890" s="145"/>
      <c r="D890" s="145"/>
      <c r="E890" s="145"/>
      <c r="F890" s="145"/>
      <c r="G890" s="145"/>
      <c r="H890" s="145"/>
      <c r="I890" s="145"/>
      <c r="J890" s="145"/>
      <c r="K890" s="145"/>
      <c r="L890" s="145"/>
      <c r="M890" s="145"/>
      <c r="N890" s="145"/>
      <c r="O890" s="145"/>
      <c r="P890" s="145"/>
      <c r="Q890" s="145"/>
      <c r="R890" s="145"/>
      <c r="S890" s="145"/>
      <c r="T890" s="145"/>
      <c r="U890" s="145"/>
      <c r="V890" s="145"/>
      <c r="W890" s="145"/>
      <c r="X890" s="145"/>
      <c r="Y890" s="145"/>
      <c r="Z890" s="145"/>
    </row>
    <row r="891" spans="1:26" ht="15.75" x14ac:dyDescent="0.25">
      <c r="A891" s="145"/>
      <c r="B891" s="145"/>
      <c r="C891" s="145"/>
      <c r="D891" s="145"/>
      <c r="E891" s="145"/>
      <c r="F891" s="145"/>
      <c r="G891" s="145"/>
      <c r="H891" s="145"/>
      <c r="I891" s="145"/>
      <c r="J891" s="145"/>
      <c r="K891" s="145"/>
      <c r="L891" s="145"/>
      <c r="M891" s="145"/>
      <c r="N891" s="145"/>
      <c r="O891" s="145"/>
      <c r="P891" s="145"/>
      <c r="Q891" s="145"/>
      <c r="R891" s="145"/>
      <c r="S891" s="145"/>
      <c r="T891" s="145"/>
      <c r="U891" s="145"/>
      <c r="V891" s="145"/>
      <c r="W891" s="145"/>
      <c r="X891" s="145"/>
      <c r="Y891" s="145"/>
      <c r="Z891" s="145"/>
    </row>
    <row r="892" spans="1:26" ht="15.75" x14ac:dyDescent="0.25">
      <c r="A892" s="145"/>
      <c r="B892" s="145"/>
      <c r="C892" s="145"/>
      <c r="D892" s="145"/>
      <c r="E892" s="145"/>
      <c r="F892" s="145"/>
      <c r="G892" s="145"/>
      <c r="H892" s="145"/>
      <c r="I892" s="145"/>
      <c r="J892" s="145"/>
      <c r="K892" s="145"/>
      <c r="L892" s="145"/>
      <c r="M892" s="145"/>
      <c r="N892" s="145"/>
      <c r="O892" s="145"/>
      <c r="P892" s="145"/>
      <c r="Q892" s="145"/>
      <c r="R892" s="145"/>
      <c r="S892" s="145"/>
      <c r="T892" s="145"/>
      <c r="U892" s="145"/>
      <c r="V892" s="145"/>
      <c r="W892" s="145"/>
      <c r="X892" s="145"/>
      <c r="Y892" s="145"/>
      <c r="Z892" s="145"/>
    </row>
    <row r="893" spans="1:26" ht="15.75" x14ac:dyDescent="0.25">
      <c r="A893" s="145"/>
      <c r="B893" s="145"/>
      <c r="C893" s="145"/>
      <c r="D893" s="145"/>
      <c r="E893" s="145"/>
      <c r="F893" s="145"/>
      <c r="G893" s="145"/>
      <c r="H893" s="145"/>
      <c r="I893" s="145"/>
      <c r="J893" s="145"/>
      <c r="K893" s="145"/>
      <c r="L893" s="145"/>
      <c r="M893" s="145"/>
      <c r="N893" s="145"/>
      <c r="O893" s="145"/>
      <c r="P893" s="145"/>
      <c r="Q893" s="145"/>
      <c r="R893" s="145"/>
      <c r="S893" s="145"/>
      <c r="T893" s="145"/>
      <c r="U893" s="145"/>
      <c r="V893" s="145"/>
      <c r="W893" s="145"/>
      <c r="X893" s="145"/>
      <c r="Y893" s="145"/>
      <c r="Z893" s="145"/>
    </row>
    <row r="894" spans="1:26" ht="15.75" x14ac:dyDescent="0.25">
      <c r="A894" s="145"/>
      <c r="B894" s="145"/>
      <c r="C894" s="145"/>
      <c r="D894" s="145"/>
      <c r="E894" s="145"/>
      <c r="F894" s="145"/>
      <c r="G894" s="145"/>
      <c r="H894" s="145"/>
      <c r="I894" s="145"/>
      <c r="J894" s="145"/>
      <c r="K894" s="145"/>
      <c r="L894" s="145"/>
      <c r="M894" s="145"/>
      <c r="N894" s="145"/>
      <c r="O894" s="145"/>
      <c r="P894" s="145"/>
      <c r="Q894" s="145"/>
      <c r="R894" s="145"/>
      <c r="S894" s="145"/>
      <c r="T894" s="145"/>
      <c r="U894" s="145"/>
      <c r="V894" s="145"/>
      <c r="W894" s="145"/>
      <c r="X894" s="145"/>
      <c r="Y894" s="145"/>
      <c r="Z894" s="145"/>
    </row>
    <row r="895" spans="1:26" ht="15.75" x14ac:dyDescent="0.25">
      <c r="A895" s="145"/>
      <c r="B895" s="145"/>
      <c r="C895" s="145"/>
      <c r="D895" s="145"/>
      <c r="E895" s="145"/>
      <c r="F895" s="145"/>
      <c r="G895" s="145"/>
      <c r="H895" s="145"/>
      <c r="I895" s="145"/>
      <c r="J895" s="145"/>
      <c r="K895" s="145"/>
      <c r="L895" s="145"/>
      <c r="M895" s="145"/>
      <c r="N895" s="145"/>
      <c r="O895" s="145"/>
      <c r="P895" s="145"/>
      <c r="Q895" s="145"/>
      <c r="R895" s="145"/>
      <c r="S895" s="145"/>
      <c r="T895" s="145"/>
      <c r="U895" s="145"/>
      <c r="V895" s="145"/>
      <c r="W895" s="145"/>
      <c r="X895" s="145"/>
      <c r="Y895" s="145"/>
      <c r="Z895" s="145"/>
    </row>
    <row r="896" spans="1:26" ht="15.75" x14ac:dyDescent="0.25">
      <c r="A896" s="145"/>
      <c r="B896" s="145"/>
      <c r="C896" s="145"/>
      <c r="D896" s="145"/>
      <c r="E896" s="145"/>
      <c r="F896" s="145"/>
      <c r="G896" s="145"/>
      <c r="H896" s="145"/>
      <c r="I896" s="145"/>
      <c r="J896" s="145"/>
      <c r="K896" s="145"/>
      <c r="L896" s="145"/>
      <c r="M896" s="145"/>
      <c r="N896" s="145"/>
      <c r="O896" s="145"/>
      <c r="P896" s="145"/>
      <c r="Q896" s="145"/>
      <c r="R896" s="145"/>
      <c r="S896" s="145"/>
      <c r="T896" s="145"/>
      <c r="U896" s="145"/>
      <c r="V896" s="145"/>
      <c r="W896" s="145"/>
      <c r="X896" s="145"/>
      <c r="Y896" s="145"/>
      <c r="Z896" s="145"/>
    </row>
    <row r="897" spans="1:26" ht="15.75" x14ac:dyDescent="0.25">
      <c r="A897" s="145"/>
      <c r="B897" s="145"/>
      <c r="C897" s="145"/>
      <c r="D897" s="145"/>
      <c r="E897" s="145"/>
      <c r="F897" s="145"/>
      <c r="G897" s="145"/>
      <c r="H897" s="145"/>
      <c r="I897" s="145"/>
      <c r="J897" s="145"/>
      <c r="K897" s="145"/>
      <c r="L897" s="145"/>
      <c r="M897" s="145"/>
      <c r="N897" s="145"/>
      <c r="O897" s="145"/>
      <c r="P897" s="145"/>
      <c r="Q897" s="145"/>
      <c r="R897" s="145"/>
      <c r="S897" s="145"/>
      <c r="T897" s="145"/>
      <c r="U897" s="145"/>
      <c r="V897" s="145"/>
      <c r="W897" s="145"/>
      <c r="X897" s="145"/>
      <c r="Y897" s="145"/>
      <c r="Z897" s="145"/>
    </row>
    <row r="898" spans="1:26" ht="15.75" x14ac:dyDescent="0.25">
      <c r="A898" s="145"/>
      <c r="B898" s="145"/>
      <c r="C898" s="145"/>
      <c r="D898" s="145"/>
      <c r="E898" s="145"/>
      <c r="F898" s="145"/>
      <c r="G898" s="145"/>
      <c r="H898" s="145"/>
      <c r="I898" s="145"/>
      <c r="J898" s="145"/>
      <c r="K898" s="145"/>
      <c r="L898" s="145"/>
      <c r="M898" s="145"/>
      <c r="N898" s="145"/>
      <c r="O898" s="145"/>
      <c r="P898" s="145"/>
      <c r="Q898" s="145"/>
      <c r="R898" s="145"/>
      <c r="S898" s="145"/>
      <c r="T898" s="145"/>
      <c r="U898" s="145"/>
      <c r="V898" s="145"/>
      <c r="W898" s="145"/>
      <c r="X898" s="145"/>
      <c r="Y898" s="145"/>
      <c r="Z898" s="145"/>
    </row>
    <row r="899" spans="1:26" ht="15.75" x14ac:dyDescent="0.25">
      <c r="A899" s="145"/>
      <c r="B899" s="145"/>
      <c r="C899" s="145"/>
      <c r="D899" s="145"/>
      <c r="E899" s="145"/>
      <c r="F899" s="145"/>
      <c r="G899" s="145"/>
      <c r="H899" s="145"/>
      <c r="I899" s="145"/>
      <c r="J899" s="145"/>
      <c r="K899" s="145"/>
      <c r="L899" s="145"/>
      <c r="M899" s="145"/>
      <c r="N899" s="145"/>
      <c r="O899" s="145"/>
      <c r="P899" s="145"/>
      <c r="Q899" s="145"/>
      <c r="R899" s="145"/>
      <c r="S899" s="145"/>
      <c r="T899" s="145"/>
      <c r="U899" s="145"/>
      <c r="V899" s="145"/>
      <c r="W899" s="145"/>
      <c r="X899" s="145"/>
      <c r="Y899" s="145"/>
      <c r="Z899" s="145"/>
    </row>
    <row r="900" spans="1:26" ht="15.75" x14ac:dyDescent="0.25">
      <c r="A900" s="145"/>
      <c r="B900" s="145"/>
      <c r="C900" s="145"/>
      <c r="D900" s="145"/>
      <c r="E900" s="145"/>
      <c r="F900" s="145"/>
      <c r="G900" s="145"/>
      <c r="H900" s="145"/>
      <c r="I900" s="145"/>
      <c r="J900" s="145"/>
      <c r="K900" s="145"/>
      <c r="L900" s="145"/>
      <c r="M900" s="145"/>
      <c r="N900" s="145"/>
      <c r="O900" s="145"/>
      <c r="P900" s="145"/>
      <c r="Q900" s="145"/>
      <c r="R900" s="145"/>
      <c r="S900" s="145"/>
      <c r="T900" s="145"/>
      <c r="U900" s="145"/>
      <c r="V900" s="145"/>
      <c r="W900" s="145"/>
      <c r="X900" s="145"/>
      <c r="Y900" s="145"/>
      <c r="Z900" s="145"/>
    </row>
    <row r="901" spans="1:26" ht="15.75" x14ac:dyDescent="0.25">
      <c r="A901" s="145"/>
      <c r="B901" s="145"/>
      <c r="C901" s="145"/>
      <c r="D901" s="145"/>
      <c r="E901" s="145"/>
      <c r="F901" s="145"/>
      <c r="G901" s="145"/>
      <c r="H901" s="145"/>
      <c r="I901" s="145"/>
      <c r="J901" s="145"/>
      <c r="K901" s="145"/>
      <c r="L901" s="145"/>
      <c r="M901" s="145"/>
      <c r="N901" s="145"/>
      <c r="O901" s="145"/>
      <c r="P901" s="145"/>
      <c r="Q901" s="145"/>
      <c r="R901" s="145"/>
      <c r="S901" s="145"/>
      <c r="T901" s="145"/>
      <c r="U901" s="145"/>
      <c r="V901" s="145"/>
      <c r="W901" s="145"/>
      <c r="X901" s="145"/>
      <c r="Y901" s="145"/>
      <c r="Z901" s="145"/>
    </row>
    <row r="902" spans="1:26" ht="15.75" x14ac:dyDescent="0.25">
      <c r="A902" s="145"/>
      <c r="B902" s="145"/>
      <c r="C902" s="145"/>
      <c r="D902" s="145"/>
      <c r="E902" s="145"/>
      <c r="F902" s="145"/>
      <c r="G902" s="145"/>
      <c r="H902" s="145"/>
      <c r="I902" s="145"/>
      <c r="J902" s="145"/>
      <c r="K902" s="145"/>
      <c r="L902" s="145"/>
      <c r="M902" s="145"/>
      <c r="N902" s="145"/>
      <c r="O902" s="145"/>
      <c r="P902" s="145"/>
      <c r="Q902" s="145"/>
      <c r="R902" s="145"/>
      <c r="S902" s="145"/>
      <c r="T902" s="145"/>
      <c r="U902" s="145"/>
      <c r="V902" s="145"/>
      <c r="W902" s="145"/>
      <c r="X902" s="145"/>
      <c r="Y902" s="145"/>
      <c r="Z902" s="145"/>
    </row>
    <row r="903" spans="1:26" ht="15.75" x14ac:dyDescent="0.25">
      <c r="A903" s="145"/>
      <c r="B903" s="145"/>
      <c r="C903" s="145"/>
      <c r="D903" s="145"/>
      <c r="E903" s="145"/>
      <c r="F903" s="145"/>
      <c r="G903" s="145"/>
      <c r="H903" s="145"/>
      <c r="I903" s="145"/>
      <c r="J903" s="145"/>
      <c r="K903" s="145"/>
      <c r="L903" s="145"/>
      <c r="M903" s="145"/>
      <c r="N903" s="145"/>
      <c r="O903" s="145"/>
      <c r="P903" s="145"/>
      <c r="Q903" s="145"/>
      <c r="R903" s="145"/>
      <c r="S903" s="145"/>
      <c r="T903" s="145"/>
      <c r="U903" s="145"/>
      <c r="V903" s="145"/>
      <c r="W903" s="145"/>
      <c r="X903" s="145"/>
      <c r="Y903" s="145"/>
      <c r="Z903" s="145"/>
    </row>
    <row r="904" spans="1:26" ht="15.75" x14ac:dyDescent="0.25">
      <c r="A904" s="145"/>
      <c r="B904" s="145"/>
      <c r="C904" s="145"/>
      <c r="D904" s="145"/>
      <c r="E904" s="145"/>
      <c r="F904" s="145"/>
      <c r="G904" s="145"/>
      <c r="H904" s="145"/>
      <c r="I904" s="145"/>
      <c r="J904" s="145"/>
      <c r="K904" s="145"/>
      <c r="L904" s="145"/>
      <c r="M904" s="145"/>
      <c r="N904" s="145"/>
      <c r="O904" s="145"/>
      <c r="P904" s="145"/>
      <c r="Q904" s="145"/>
      <c r="R904" s="145"/>
      <c r="S904" s="145"/>
      <c r="T904" s="145"/>
      <c r="U904" s="145"/>
      <c r="V904" s="145"/>
      <c r="W904" s="145"/>
      <c r="X904" s="145"/>
      <c r="Y904" s="145"/>
      <c r="Z904" s="145"/>
    </row>
    <row r="905" spans="1:26" ht="15.75" x14ac:dyDescent="0.25">
      <c r="A905" s="145"/>
      <c r="B905" s="145"/>
      <c r="C905" s="145"/>
      <c r="D905" s="145"/>
      <c r="E905" s="145"/>
      <c r="F905" s="145"/>
      <c r="G905" s="145"/>
      <c r="H905" s="145"/>
      <c r="I905" s="145"/>
      <c r="J905" s="145"/>
      <c r="K905" s="145"/>
      <c r="L905" s="145"/>
      <c r="M905" s="145"/>
      <c r="N905" s="145"/>
      <c r="O905" s="145"/>
      <c r="P905" s="145"/>
      <c r="Q905" s="145"/>
      <c r="R905" s="145"/>
      <c r="S905" s="145"/>
      <c r="T905" s="145"/>
      <c r="U905" s="145"/>
      <c r="V905" s="145"/>
      <c r="W905" s="145"/>
      <c r="X905" s="145"/>
      <c r="Y905" s="145"/>
      <c r="Z905" s="145"/>
    </row>
    <row r="906" spans="1:26" ht="15.75" x14ac:dyDescent="0.25">
      <c r="A906" s="145"/>
      <c r="B906" s="145"/>
      <c r="C906" s="145"/>
      <c r="D906" s="145"/>
      <c r="E906" s="145"/>
      <c r="F906" s="145"/>
      <c r="G906" s="145"/>
      <c r="H906" s="145"/>
      <c r="I906" s="145"/>
      <c r="J906" s="145"/>
      <c r="K906" s="145"/>
      <c r="L906" s="145"/>
      <c r="M906" s="145"/>
      <c r="N906" s="145"/>
      <c r="O906" s="145"/>
      <c r="P906" s="145"/>
      <c r="Q906" s="145"/>
      <c r="R906" s="145"/>
      <c r="S906" s="145"/>
      <c r="T906" s="145"/>
      <c r="U906" s="145"/>
      <c r="V906" s="145"/>
      <c r="W906" s="145"/>
      <c r="X906" s="145"/>
      <c r="Y906" s="145"/>
      <c r="Z906" s="145"/>
    </row>
    <row r="907" spans="1:26" ht="15.75" x14ac:dyDescent="0.25">
      <c r="A907" s="145"/>
      <c r="B907" s="145"/>
      <c r="C907" s="145"/>
      <c r="D907" s="145"/>
      <c r="E907" s="145"/>
      <c r="F907" s="145"/>
      <c r="G907" s="145"/>
      <c r="H907" s="145"/>
      <c r="I907" s="145"/>
      <c r="J907" s="145"/>
      <c r="K907" s="145"/>
      <c r="L907" s="145"/>
      <c r="M907" s="145"/>
      <c r="N907" s="145"/>
      <c r="O907" s="145"/>
      <c r="P907" s="145"/>
      <c r="Q907" s="145"/>
      <c r="R907" s="145"/>
      <c r="S907" s="145"/>
      <c r="T907" s="145"/>
      <c r="U907" s="145"/>
      <c r="V907" s="145"/>
      <c r="W907" s="145"/>
      <c r="X907" s="145"/>
      <c r="Y907" s="145"/>
      <c r="Z907" s="145"/>
    </row>
    <row r="908" spans="1:26" ht="15.75" x14ac:dyDescent="0.25">
      <c r="A908" s="145"/>
      <c r="B908" s="145"/>
      <c r="C908" s="145"/>
      <c r="D908" s="145"/>
      <c r="E908" s="145"/>
      <c r="F908" s="145"/>
      <c r="G908" s="145"/>
      <c r="H908" s="145"/>
      <c r="I908" s="145"/>
      <c r="J908" s="145"/>
      <c r="K908" s="145"/>
      <c r="L908" s="145"/>
      <c r="M908" s="145"/>
      <c r="N908" s="145"/>
      <c r="O908" s="145"/>
      <c r="P908" s="145"/>
      <c r="Q908" s="145"/>
      <c r="R908" s="145"/>
      <c r="S908" s="145"/>
      <c r="T908" s="145"/>
      <c r="U908" s="145"/>
      <c r="V908" s="145"/>
      <c r="W908" s="145"/>
      <c r="X908" s="145"/>
      <c r="Y908" s="145"/>
      <c r="Z908" s="145"/>
    </row>
    <row r="909" spans="1:26" ht="15.75" x14ac:dyDescent="0.25">
      <c r="A909" s="145"/>
      <c r="B909" s="145"/>
      <c r="C909" s="145"/>
      <c r="D909" s="145"/>
      <c r="E909" s="145"/>
      <c r="F909" s="145"/>
      <c r="G909" s="145"/>
      <c r="H909" s="145"/>
      <c r="I909" s="145"/>
      <c r="J909" s="145"/>
      <c r="K909" s="145"/>
      <c r="L909" s="145"/>
      <c r="M909" s="145"/>
      <c r="N909" s="145"/>
      <c r="O909" s="145"/>
      <c r="P909" s="145"/>
      <c r="Q909" s="145"/>
      <c r="R909" s="145"/>
      <c r="S909" s="145"/>
      <c r="T909" s="145"/>
      <c r="U909" s="145"/>
      <c r="V909" s="145"/>
      <c r="W909" s="145"/>
      <c r="X909" s="145"/>
      <c r="Y909" s="145"/>
      <c r="Z909" s="145"/>
    </row>
    <row r="910" spans="1:26" ht="15.75" x14ac:dyDescent="0.25">
      <c r="A910" s="145"/>
      <c r="B910" s="145"/>
      <c r="C910" s="145"/>
      <c r="D910" s="145"/>
      <c r="E910" s="145"/>
      <c r="F910" s="145"/>
      <c r="G910" s="145"/>
      <c r="H910" s="145"/>
      <c r="I910" s="145"/>
      <c r="J910" s="145"/>
      <c r="K910" s="145"/>
      <c r="L910" s="145"/>
      <c r="M910" s="145"/>
      <c r="N910" s="145"/>
      <c r="O910" s="145"/>
      <c r="P910" s="145"/>
      <c r="Q910" s="145"/>
      <c r="R910" s="145"/>
      <c r="S910" s="145"/>
      <c r="T910" s="145"/>
      <c r="U910" s="145"/>
      <c r="V910" s="145"/>
      <c r="W910" s="145"/>
      <c r="X910" s="145"/>
      <c r="Y910" s="145"/>
      <c r="Z910" s="145"/>
    </row>
    <row r="911" spans="1:26" ht="15.75" x14ac:dyDescent="0.25">
      <c r="A911" s="145"/>
      <c r="B911" s="145"/>
      <c r="C911" s="145"/>
      <c r="D911" s="145"/>
      <c r="E911" s="145"/>
      <c r="F911" s="145"/>
      <c r="G911" s="145"/>
      <c r="H911" s="145"/>
      <c r="I911" s="145"/>
      <c r="J911" s="145"/>
      <c r="K911" s="145"/>
      <c r="L911" s="145"/>
      <c r="M911" s="145"/>
      <c r="N911" s="145"/>
      <c r="O911" s="145"/>
      <c r="P911" s="145"/>
      <c r="Q911" s="145"/>
      <c r="R911" s="145"/>
      <c r="S911" s="145"/>
      <c r="T911" s="145"/>
      <c r="U911" s="145"/>
      <c r="V911" s="145"/>
      <c r="W911" s="145"/>
      <c r="X911" s="145"/>
      <c r="Y911" s="145"/>
      <c r="Z911" s="145"/>
    </row>
    <row r="912" spans="1:26" ht="15.75" x14ac:dyDescent="0.25">
      <c r="A912" s="145"/>
      <c r="B912" s="145"/>
      <c r="C912" s="145"/>
      <c r="D912" s="145"/>
      <c r="E912" s="145"/>
      <c r="F912" s="145"/>
      <c r="G912" s="145"/>
      <c r="H912" s="145"/>
      <c r="I912" s="145"/>
      <c r="J912" s="145"/>
      <c r="K912" s="145"/>
      <c r="L912" s="145"/>
      <c r="M912" s="145"/>
      <c r="N912" s="145"/>
      <c r="O912" s="145"/>
      <c r="P912" s="145"/>
      <c r="Q912" s="145"/>
      <c r="R912" s="145"/>
      <c r="S912" s="145"/>
      <c r="T912" s="145"/>
      <c r="U912" s="145"/>
      <c r="V912" s="145"/>
      <c r="W912" s="145"/>
      <c r="X912" s="145"/>
      <c r="Y912" s="145"/>
      <c r="Z912" s="145"/>
    </row>
    <row r="913" spans="1:26" ht="15.75" x14ac:dyDescent="0.25">
      <c r="A913" s="145"/>
      <c r="B913" s="145"/>
      <c r="C913" s="145"/>
      <c r="D913" s="145"/>
      <c r="E913" s="145"/>
      <c r="F913" s="145"/>
      <c r="G913" s="145"/>
      <c r="H913" s="145"/>
      <c r="I913" s="145"/>
      <c r="J913" s="145"/>
      <c r="K913" s="145"/>
      <c r="L913" s="145"/>
      <c r="M913" s="145"/>
      <c r="N913" s="145"/>
      <c r="O913" s="145"/>
      <c r="P913" s="145"/>
      <c r="Q913" s="145"/>
      <c r="R913" s="145"/>
      <c r="S913" s="145"/>
      <c r="T913" s="145"/>
      <c r="U913" s="145"/>
      <c r="V913" s="145"/>
      <c r="W913" s="145"/>
      <c r="X913" s="145"/>
      <c r="Y913" s="145"/>
      <c r="Z913" s="145"/>
    </row>
    <row r="914" spans="1:26" ht="15.75" x14ac:dyDescent="0.25">
      <c r="A914" s="145"/>
      <c r="B914" s="145"/>
      <c r="C914" s="145"/>
      <c r="D914" s="145"/>
      <c r="E914" s="145"/>
      <c r="F914" s="145"/>
      <c r="G914" s="145"/>
      <c r="H914" s="145"/>
      <c r="I914" s="145"/>
      <c r="J914" s="145"/>
      <c r="K914" s="145"/>
      <c r="L914" s="145"/>
      <c r="M914" s="145"/>
      <c r="N914" s="145"/>
      <c r="O914" s="145"/>
      <c r="P914" s="145"/>
      <c r="Q914" s="145"/>
      <c r="R914" s="145"/>
      <c r="S914" s="145"/>
      <c r="T914" s="145"/>
      <c r="U914" s="145"/>
      <c r="V914" s="145"/>
      <c r="W914" s="145"/>
      <c r="X914" s="145"/>
      <c r="Y914" s="145"/>
      <c r="Z914" s="145"/>
    </row>
    <row r="915" spans="1:26" ht="15.75" x14ac:dyDescent="0.25">
      <c r="A915" s="145"/>
      <c r="B915" s="145"/>
      <c r="C915" s="145"/>
      <c r="D915" s="145"/>
      <c r="E915" s="145"/>
      <c r="F915" s="145"/>
      <c r="G915" s="145"/>
      <c r="H915" s="145"/>
      <c r="I915" s="145"/>
      <c r="J915" s="145"/>
      <c r="K915" s="145"/>
      <c r="L915" s="145"/>
      <c r="M915" s="145"/>
      <c r="N915" s="145"/>
      <c r="O915" s="145"/>
      <c r="P915" s="145"/>
      <c r="Q915" s="145"/>
      <c r="R915" s="145"/>
      <c r="S915" s="145"/>
      <c r="T915" s="145"/>
      <c r="U915" s="145"/>
      <c r="V915" s="145"/>
      <c r="W915" s="145"/>
      <c r="X915" s="145"/>
      <c r="Y915" s="145"/>
      <c r="Z915" s="145"/>
    </row>
    <row r="916" spans="1:26" ht="15.75" x14ac:dyDescent="0.25">
      <c r="A916" s="145"/>
      <c r="B916" s="145"/>
      <c r="C916" s="145"/>
      <c r="D916" s="145"/>
      <c r="E916" s="145"/>
      <c r="F916" s="145"/>
      <c r="G916" s="145"/>
      <c r="H916" s="145"/>
      <c r="I916" s="145"/>
      <c r="J916" s="145"/>
      <c r="K916" s="145"/>
      <c r="L916" s="145"/>
      <c r="M916" s="145"/>
      <c r="N916" s="145"/>
      <c r="O916" s="145"/>
      <c r="P916" s="145"/>
      <c r="Q916" s="145"/>
      <c r="R916" s="145"/>
      <c r="S916" s="145"/>
      <c r="T916" s="145"/>
      <c r="U916" s="145"/>
      <c r="V916" s="145"/>
      <c r="W916" s="145"/>
      <c r="X916" s="145"/>
      <c r="Y916" s="145"/>
      <c r="Z916" s="145"/>
    </row>
    <row r="917" spans="1:26" ht="15.75" x14ac:dyDescent="0.25">
      <c r="A917" s="145"/>
      <c r="B917" s="145"/>
      <c r="C917" s="145"/>
      <c r="D917" s="145"/>
      <c r="E917" s="145"/>
      <c r="F917" s="145"/>
      <c r="G917" s="145"/>
      <c r="H917" s="145"/>
      <c r="I917" s="145"/>
      <c r="J917" s="145"/>
      <c r="K917" s="145"/>
      <c r="L917" s="145"/>
      <c r="M917" s="145"/>
      <c r="N917" s="145"/>
      <c r="O917" s="145"/>
      <c r="P917" s="145"/>
      <c r="Q917" s="145"/>
      <c r="R917" s="145"/>
      <c r="S917" s="145"/>
      <c r="T917" s="145"/>
      <c r="U917" s="145"/>
      <c r="V917" s="145"/>
      <c r="W917" s="145"/>
      <c r="X917" s="145"/>
      <c r="Y917" s="145"/>
      <c r="Z917" s="145"/>
    </row>
    <row r="918" spans="1:26" ht="15.75" x14ac:dyDescent="0.25">
      <c r="A918" s="145"/>
      <c r="B918" s="145"/>
      <c r="C918" s="145"/>
      <c r="D918" s="145"/>
      <c r="E918" s="145"/>
      <c r="F918" s="145"/>
      <c r="G918" s="145"/>
      <c r="H918" s="145"/>
      <c r="I918" s="145"/>
      <c r="J918" s="145"/>
      <c r="K918" s="145"/>
      <c r="L918" s="145"/>
      <c r="M918" s="145"/>
      <c r="N918" s="145"/>
      <c r="O918" s="145"/>
      <c r="P918" s="145"/>
      <c r="Q918" s="145"/>
      <c r="R918" s="145"/>
      <c r="S918" s="145"/>
      <c r="T918" s="145"/>
      <c r="U918" s="145"/>
      <c r="V918" s="145"/>
      <c r="W918" s="145"/>
      <c r="X918" s="145"/>
      <c r="Y918" s="145"/>
      <c r="Z918" s="145"/>
    </row>
    <row r="919" spans="1:26" ht="15.75" x14ac:dyDescent="0.25">
      <c r="A919" s="145"/>
      <c r="B919" s="145"/>
      <c r="C919" s="145"/>
      <c r="D919" s="145"/>
      <c r="E919" s="145"/>
      <c r="F919" s="145"/>
      <c r="G919" s="145"/>
      <c r="H919" s="145"/>
      <c r="I919" s="145"/>
      <c r="J919" s="145"/>
      <c r="K919" s="145"/>
      <c r="L919" s="145"/>
      <c r="M919" s="145"/>
      <c r="N919" s="145"/>
      <c r="O919" s="145"/>
      <c r="P919" s="145"/>
      <c r="Q919" s="145"/>
      <c r="R919" s="145"/>
      <c r="S919" s="145"/>
      <c r="T919" s="145"/>
      <c r="U919" s="145"/>
      <c r="V919" s="145"/>
      <c r="W919" s="145"/>
      <c r="X919" s="145"/>
      <c r="Y919" s="145"/>
      <c r="Z919" s="145"/>
    </row>
    <row r="920" spans="1:26" ht="15.75" x14ac:dyDescent="0.25">
      <c r="A920" s="145"/>
      <c r="B920" s="145"/>
      <c r="C920" s="145"/>
      <c r="D920" s="145"/>
      <c r="E920" s="145"/>
      <c r="F920" s="145"/>
      <c r="G920" s="145"/>
      <c r="H920" s="145"/>
      <c r="I920" s="145"/>
      <c r="J920" s="145"/>
      <c r="K920" s="145"/>
      <c r="L920" s="145"/>
      <c r="M920" s="145"/>
      <c r="N920" s="145"/>
      <c r="O920" s="145"/>
      <c r="P920" s="145"/>
      <c r="Q920" s="145"/>
      <c r="R920" s="145"/>
      <c r="S920" s="145"/>
      <c r="T920" s="145"/>
      <c r="U920" s="145"/>
      <c r="V920" s="145"/>
      <c r="W920" s="145"/>
      <c r="X920" s="145"/>
      <c r="Y920" s="145"/>
      <c r="Z920" s="145"/>
    </row>
    <row r="921" spans="1:26" ht="15.75" x14ac:dyDescent="0.25">
      <c r="A921" s="145"/>
      <c r="B921" s="145"/>
      <c r="C921" s="145"/>
      <c r="D921" s="145"/>
      <c r="E921" s="145"/>
      <c r="F921" s="145"/>
      <c r="G921" s="145"/>
      <c r="H921" s="145"/>
      <c r="I921" s="145"/>
      <c r="J921" s="145"/>
      <c r="K921" s="145"/>
      <c r="L921" s="145"/>
      <c r="M921" s="145"/>
      <c r="N921" s="145"/>
      <c r="O921" s="145"/>
      <c r="P921" s="145"/>
      <c r="Q921" s="145"/>
      <c r="R921" s="145"/>
      <c r="S921" s="145"/>
      <c r="T921" s="145"/>
      <c r="U921" s="145"/>
      <c r="V921" s="145"/>
      <c r="W921" s="145"/>
      <c r="X921" s="145"/>
      <c r="Y921" s="145"/>
      <c r="Z921" s="145"/>
    </row>
    <row r="922" spans="1:26" ht="15.75" x14ac:dyDescent="0.25">
      <c r="A922" s="145"/>
      <c r="B922" s="145"/>
      <c r="C922" s="145"/>
      <c r="D922" s="145"/>
      <c r="E922" s="145"/>
      <c r="F922" s="145"/>
      <c r="G922" s="145"/>
      <c r="H922" s="145"/>
      <c r="I922" s="145"/>
      <c r="J922" s="145"/>
      <c r="K922" s="145"/>
      <c r="L922" s="145"/>
      <c r="M922" s="145"/>
      <c r="N922" s="145"/>
      <c r="O922" s="145"/>
      <c r="P922" s="145"/>
      <c r="Q922" s="145"/>
      <c r="R922" s="145"/>
      <c r="S922" s="145"/>
      <c r="T922" s="145"/>
      <c r="U922" s="145"/>
      <c r="V922" s="145"/>
      <c r="W922" s="145"/>
      <c r="X922" s="145"/>
      <c r="Y922" s="145"/>
      <c r="Z922" s="145"/>
    </row>
    <row r="923" spans="1:26" ht="15.75" x14ac:dyDescent="0.25">
      <c r="A923" s="145"/>
      <c r="B923" s="145"/>
      <c r="C923" s="145"/>
      <c r="D923" s="145"/>
      <c r="E923" s="145"/>
      <c r="F923" s="145"/>
      <c r="G923" s="145"/>
      <c r="H923" s="145"/>
      <c r="I923" s="145"/>
      <c r="J923" s="145"/>
      <c r="K923" s="145"/>
      <c r="L923" s="145"/>
      <c r="M923" s="145"/>
      <c r="N923" s="145"/>
      <c r="O923" s="145"/>
      <c r="P923" s="145"/>
      <c r="Q923" s="145"/>
      <c r="R923" s="145"/>
      <c r="S923" s="145"/>
      <c r="T923" s="145"/>
      <c r="U923" s="145"/>
      <c r="V923" s="145"/>
      <c r="W923" s="145"/>
      <c r="X923" s="145"/>
      <c r="Y923" s="145"/>
      <c r="Z923" s="145"/>
    </row>
    <row r="924" spans="1:26" ht="15.75" x14ac:dyDescent="0.25">
      <c r="A924" s="145"/>
      <c r="B924" s="145"/>
      <c r="C924" s="145"/>
      <c r="D924" s="145"/>
      <c r="E924" s="145"/>
      <c r="F924" s="145"/>
      <c r="G924" s="145"/>
      <c r="H924" s="145"/>
      <c r="I924" s="145"/>
      <c r="J924" s="145"/>
      <c r="K924" s="145"/>
      <c r="L924" s="145"/>
      <c r="M924" s="145"/>
      <c r="N924" s="145"/>
      <c r="O924" s="145"/>
      <c r="P924" s="145"/>
      <c r="Q924" s="145"/>
      <c r="R924" s="145"/>
      <c r="S924" s="145"/>
      <c r="T924" s="145"/>
      <c r="U924" s="145"/>
      <c r="V924" s="145"/>
      <c r="W924" s="145"/>
      <c r="X924" s="145"/>
      <c r="Y924" s="145"/>
      <c r="Z924" s="145"/>
    </row>
    <row r="925" spans="1:26" ht="15.75" x14ac:dyDescent="0.25">
      <c r="A925" s="145"/>
      <c r="B925" s="145"/>
      <c r="C925" s="145"/>
      <c r="D925" s="145"/>
      <c r="E925" s="145"/>
      <c r="F925" s="145"/>
      <c r="G925" s="145"/>
      <c r="H925" s="145"/>
      <c r="I925" s="145"/>
      <c r="J925" s="145"/>
      <c r="K925" s="145"/>
      <c r="L925" s="145"/>
      <c r="M925" s="145"/>
      <c r="N925" s="145"/>
      <c r="O925" s="145"/>
      <c r="P925" s="145"/>
      <c r="Q925" s="145"/>
      <c r="R925" s="145"/>
      <c r="S925" s="145"/>
      <c r="T925" s="145"/>
      <c r="U925" s="145"/>
      <c r="V925" s="145"/>
      <c r="W925" s="145"/>
      <c r="X925" s="145"/>
      <c r="Y925" s="145"/>
      <c r="Z925" s="145"/>
    </row>
    <row r="926" spans="1:26" ht="15.75" x14ac:dyDescent="0.25">
      <c r="A926" s="145"/>
      <c r="B926" s="145"/>
      <c r="C926" s="145"/>
      <c r="D926" s="145"/>
      <c r="E926" s="145"/>
      <c r="F926" s="145"/>
      <c r="G926" s="145"/>
      <c r="H926" s="145"/>
      <c r="I926" s="145"/>
      <c r="J926" s="145"/>
      <c r="K926" s="145"/>
      <c r="L926" s="145"/>
      <c r="M926" s="145"/>
      <c r="N926" s="145"/>
      <c r="O926" s="145"/>
      <c r="P926" s="145"/>
      <c r="Q926" s="145"/>
      <c r="R926" s="145"/>
      <c r="S926" s="145"/>
      <c r="T926" s="145"/>
      <c r="U926" s="145"/>
      <c r="V926" s="145"/>
      <c r="W926" s="145"/>
      <c r="X926" s="145"/>
      <c r="Y926" s="145"/>
      <c r="Z926" s="145"/>
    </row>
    <row r="927" spans="1:26" ht="15.75" x14ac:dyDescent="0.25">
      <c r="A927" s="145"/>
      <c r="B927" s="145"/>
      <c r="C927" s="145"/>
      <c r="D927" s="145"/>
      <c r="E927" s="145"/>
      <c r="F927" s="145"/>
      <c r="G927" s="145"/>
      <c r="H927" s="145"/>
      <c r="I927" s="145"/>
      <c r="J927" s="145"/>
      <c r="K927" s="145"/>
      <c r="L927" s="145"/>
      <c r="M927" s="145"/>
      <c r="N927" s="145"/>
      <c r="O927" s="145"/>
      <c r="P927" s="145"/>
      <c r="Q927" s="145"/>
      <c r="R927" s="145"/>
      <c r="S927" s="145"/>
      <c r="T927" s="145"/>
      <c r="U927" s="145"/>
      <c r="V927" s="145"/>
      <c r="W927" s="145"/>
      <c r="X927" s="145"/>
      <c r="Y927" s="145"/>
      <c r="Z927" s="145"/>
    </row>
    <row r="928" spans="1:26" ht="15.75" x14ac:dyDescent="0.25">
      <c r="A928" s="145"/>
      <c r="B928" s="145"/>
      <c r="C928" s="145"/>
      <c r="D928" s="145"/>
      <c r="E928" s="145"/>
      <c r="F928" s="145"/>
      <c r="G928" s="145"/>
      <c r="H928" s="145"/>
      <c r="I928" s="145"/>
      <c r="J928" s="145"/>
      <c r="K928" s="145"/>
      <c r="L928" s="145"/>
      <c r="M928" s="145"/>
      <c r="N928" s="145"/>
      <c r="O928" s="145"/>
      <c r="P928" s="145"/>
      <c r="Q928" s="145"/>
      <c r="R928" s="145"/>
      <c r="S928" s="145"/>
      <c r="T928" s="145"/>
      <c r="U928" s="145"/>
      <c r="V928" s="145"/>
      <c r="W928" s="145"/>
      <c r="X928" s="145"/>
      <c r="Y928" s="145"/>
      <c r="Z928" s="145"/>
    </row>
    <row r="929" spans="1:26" ht="15.75" x14ac:dyDescent="0.25">
      <c r="A929" s="145"/>
      <c r="B929" s="145"/>
      <c r="C929" s="145"/>
      <c r="D929" s="145"/>
      <c r="E929" s="145"/>
      <c r="F929" s="145"/>
      <c r="G929" s="145"/>
      <c r="H929" s="145"/>
      <c r="I929" s="145"/>
      <c r="J929" s="145"/>
      <c r="K929" s="145"/>
      <c r="L929" s="145"/>
      <c r="M929" s="145"/>
      <c r="N929" s="145"/>
      <c r="O929" s="145"/>
      <c r="P929" s="145"/>
      <c r="Q929" s="145"/>
      <c r="R929" s="145"/>
      <c r="S929" s="145"/>
      <c r="T929" s="145"/>
      <c r="U929" s="145"/>
      <c r="V929" s="145"/>
      <c r="W929" s="145"/>
      <c r="X929" s="145"/>
      <c r="Y929" s="145"/>
      <c r="Z929" s="145"/>
    </row>
    <row r="930" spans="1:26" ht="15.75" x14ac:dyDescent="0.25">
      <c r="A930" s="145"/>
      <c r="B930" s="145"/>
      <c r="C930" s="145"/>
      <c r="D930" s="145"/>
      <c r="E930" s="145"/>
      <c r="F930" s="145"/>
      <c r="G930" s="145"/>
      <c r="H930" s="145"/>
      <c r="I930" s="145"/>
      <c r="J930" s="145"/>
      <c r="K930" s="145"/>
      <c r="L930" s="145"/>
      <c r="M930" s="145"/>
      <c r="N930" s="145"/>
      <c r="O930" s="145"/>
      <c r="P930" s="145"/>
      <c r="Q930" s="145"/>
      <c r="R930" s="145"/>
      <c r="S930" s="145"/>
      <c r="T930" s="145"/>
      <c r="U930" s="145"/>
      <c r="V930" s="145"/>
      <c r="W930" s="145"/>
      <c r="X930" s="145"/>
      <c r="Y930" s="145"/>
      <c r="Z930" s="145"/>
    </row>
    <row r="931" spans="1:26" ht="15.75" x14ac:dyDescent="0.25">
      <c r="A931" s="145"/>
      <c r="B931" s="145"/>
      <c r="C931" s="145"/>
      <c r="D931" s="145"/>
      <c r="E931" s="145"/>
      <c r="F931" s="145"/>
      <c r="G931" s="145"/>
      <c r="H931" s="145"/>
      <c r="I931" s="145"/>
      <c r="J931" s="145"/>
      <c r="K931" s="145"/>
      <c r="L931" s="145"/>
      <c r="M931" s="145"/>
      <c r="N931" s="145"/>
      <c r="O931" s="145"/>
      <c r="P931" s="145"/>
      <c r="Q931" s="145"/>
      <c r="R931" s="145"/>
      <c r="S931" s="145"/>
      <c r="T931" s="145"/>
      <c r="U931" s="145"/>
      <c r="V931" s="145"/>
      <c r="W931" s="145"/>
      <c r="X931" s="145"/>
      <c r="Y931" s="145"/>
      <c r="Z931" s="145"/>
    </row>
    <row r="932" spans="1:26" ht="15.75" x14ac:dyDescent="0.25">
      <c r="A932" s="145"/>
      <c r="B932" s="145"/>
      <c r="C932" s="145"/>
      <c r="D932" s="145"/>
      <c r="E932" s="145"/>
      <c r="F932" s="145"/>
      <c r="G932" s="145"/>
      <c r="H932" s="145"/>
      <c r="I932" s="145"/>
      <c r="J932" s="145"/>
      <c r="K932" s="145"/>
      <c r="L932" s="145"/>
      <c r="M932" s="145"/>
      <c r="N932" s="145"/>
      <c r="O932" s="145"/>
      <c r="P932" s="145"/>
      <c r="Q932" s="145"/>
      <c r="R932" s="145"/>
      <c r="S932" s="145"/>
      <c r="T932" s="145"/>
      <c r="U932" s="145"/>
      <c r="V932" s="145"/>
      <c r="W932" s="145"/>
      <c r="X932" s="145"/>
      <c r="Y932" s="145"/>
      <c r="Z932" s="145"/>
    </row>
    <row r="933" spans="1:26" ht="15.75" x14ac:dyDescent="0.25">
      <c r="A933" s="145"/>
      <c r="B933" s="145"/>
      <c r="C933" s="145"/>
      <c r="D933" s="145"/>
      <c r="E933" s="145"/>
      <c r="F933" s="145"/>
      <c r="G933" s="145"/>
      <c r="H933" s="145"/>
      <c r="I933" s="145"/>
      <c r="J933" s="145"/>
      <c r="K933" s="145"/>
      <c r="L933" s="145"/>
      <c r="M933" s="145"/>
      <c r="N933" s="145"/>
      <c r="O933" s="145"/>
      <c r="P933" s="145"/>
      <c r="Q933" s="145"/>
      <c r="R933" s="145"/>
      <c r="S933" s="145"/>
      <c r="T933" s="145"/>
      <c r="U933" s="145"/>
      <c r="V933" s="145"/>
      <c r="W933" s="145"/>
      <c r="X933" s="145"/>
      <c r="Y933" s="145"/>
      <c r="Z933" s="145"/>
    </row>
    <row r="934" spans="1:26" ht="15.75" x14ac:dyDescent="0.25">
      <c r="A934" s="145"/>
      <c r="B934" s="145"/>
      <c r="C934" s="145"/>
      <c r="D934" s="145"/>
      <c r="E934" s="145"/>
      <c r="F934" s="145"/>
      <c r="G934" s="145"/>
      <c r="H934" s="145"/>
      <c r="I934" s="145"/>
      <c r="J934" s="145"/>
      <c r="K934" s="145"/>
      <c r="L934" s="145"/>
      <c r="M934" s="145"/>
      <c r="N934" s="145"/>
      <c r="O934" s="145"/>
      <c r="P934" s="145"/>
      <c r="Q934" s="145"/>
      <c r="R934" s="145"/>
      <c r="S934" s="145"/>
      <c r="T934" s="145"/>
      <c r="U934" s="145"/>
      <c r="V934" s="145"/>
      <c r="W934" s="145"/>
      <c r="X934" s="145"/>
      <c r="Y934" s="145"/>
      <c r="Z934" s="145"/>
    </row>
    <row r="935" spans="1:26" ht="15.75" x14ac:dyDescent="0.25">
      <c r="A935" s="145"/>
      <c r="B935" s="145"/>
      <c r="C935" s="145"/>
      <c r="D935" s="145"/>
      <c r="E935" s="145"/>
      <c r="F935" s="145"/>
      <c r="G935" s="145"/>
      <c r="H935" s="145"/>
      <c r="I935" s="145"/>
      <c r="J935" s="145"/>
      <c r="K935" s="145"/>
      <c r="L935" s="145"/>
      <c r="M935" s="145"/>
      <c r="N935" s="145"/>
      <c r="O935" s="145"/>
      <c r="P935" s="145"/>
      <c r="Q935" s="145"/>
      <c r="R935" s="145"/>
      <c r="S935" s="145"/>
      <c r="T935" s="145"/>
      <c r="U935" s="145"/>
      <c r="V935" s="145"/>
      <c r="W935" s="145"/>
      <c r="X935" s="145"/>
      <c r="Y935" s="145"/>
      <c r="Z935" s="145"/>
    </row>
    <row r="936" spans="1:26" ht="15.75" x14ac:dyDescent="0.25">
      <c r="A936" s="145"/>
      <c r="B936" s="145"/>
      <c r="C936" s="145"/>
      <c r="D936" s="145"/>
      <c r="E936" s="145"/>
      <c r="F936" s="145"/>
      <c r="G936" s="145"/>
      <c r="H936" s="145"/>
      <c r="I936" s="145"/>
      <c r="J936" s="145"/>
      <c r="K936" s="145"/>
      <c r="L936" s="145"/>
      <c r="M936" s="145"/>
      <c r="N936" s="145"/>
      <c r="O936" s="145"/>
      <c r="P936" s="145"/>
      <c r="Q936" s="145"/>
      <c r="R936" s="145"/>
      <c r="S936" s="145"/>
      <c r="T936" s="145"/>
      <c r="U936" s="145"/>
      <c r="V936" s="145"/>
      <c r="W936" s="145"/>
      <c r="X936" s="145"/>
      <c r="Y936" s="145"/>
      <c r="Z936" s="145"/>
    </row>
    <row r="937" spans="1:26" ht="15.75" x14ac:dyDescent="0.25">
      <c r="A937" s="145"/>
      <c r="B937" s="145"/>
      <c r="C937" s="145"/>
      <c r="D937" s="145"/>
      <c r="E937" s="145"/>
      <c r="F937" s="145"/>
      <c r="G937" s="145"/>
      <c r="H937" s="145"/>
      <c r="I937" s="145"/>
      <c r="J937" s="145"/>
      <c r="K937" s="145"/>
      <c r="L937" s="145"/>
      <c r="M937" s="145"/>
      <c r="N937" s="145"/>
      <c r="O937" s="145"/>
      <c r="P937" s="145"/>
      <c r="Q937" s="145"/>
      <c r="R937" s="145"/>
      <c r="S937" s="145"/>
      <c r="T937" s="145"/>
      <c r="U937" s="145"/>
      <c r="V937" s="145"/>
      <c r="W937" s="145"/>
      <c r="X937" s="145"/>
      <c r="Y937" s="145"/>
      <c r="Z937" s="145"/>
    </row>
    <row r="938" spans="1:26" ht="15.75" x14ac:dyDescent="0.25">
      <c r="A938" s="145"/>
      <c r="B938" s="145"/>
      <c r="C938" s="145"/>
      <c r="D938" s="145"/>
      <c r="E938" s="145"/>
      <c r="F938" s="145"/>
      <c r="G938" s="145"/>
      <c r="H938" s="145"/>
      <c r="I938" s="145"/>
      <c r="J938" s="145"/>
      <c r="K938" s="145"/>
      <c r="L938" s="145"/>
      <c r="M938" s="145"/>
      <c r="N938" s="145"/>
      <c r="O938" s="145"/>
      <c r="P938" s="145"/>
      <c r="Q938" s="145"/>
      <c r="R938" s="145"/>
      <c r="S938" s="145"/>
      <c r="T938" s="145"/>
      <c r="U938" s="145"/>
      <c r="V938" s="145"/>
      <c r="W938" s="145"/>
      <c r="X938" s="145"/>
      <c r="Y938" s="145"/>
      <c r="Z938" s="145"/>
    </row>
    <row r="939" spans="1:26" ht="15.75" x14ac:dyDescent="0.25">
      <c r="A939" s="145"/>
      <c r="B939" s="145"/>
      <c r="C939" s="145"/>
      <c r="D939" s="145"/>
      <c r="E939" s="145"/>
      <c r="F939" s="145"/>
      <c r="G939" s="145"/>
      <c r="H939" s="145"/>
      <c r="I939" s="145"/>
      <c r="J939" s="145"/>
      <c r="K939" s="145"/>
      <c r="L939" s="145"/>
      <c r="M939" s="145"/>
      <c r="N939" s="145"/>
      <c r="O939" s="145"/>
      <c r="P939" s="145"/>
      <c r="Q939" s="145"/>
      <c r="R939" s="145"/>
      <c r="S939" s="145"/>
      <c r="T939" s="145"/>
      <c r="U939" s="145"/>
      <c r="V939" s="145"/>
      <c r="W939" s="145"/>
      <c r="X939" s="145"/>
      <c r="Y939" s="145"/>
      <c r="Z939" s="145"/>
    </row>
    <row r="940" spans="1:26" ht="15.75" x14ac:dyDescent="0.25">
      <c r="A940" s="145"/>
      <c r="B940" s="145"/>
      <c r="C940" s="145"/>
      <c r="D940" s="145"/>
      <c r="E940" s="145"/>
      <c r="F940" s="145"/>
      <c r="G940" s="145"/>
      <c r="H940" s="145"/>
      <c r="I940" s="145"/>
      <c r="J940" s="145"/>
      <c r="K940" s="145"/>
      <c r="L940" s="145"/>
      <c r="M940" s="145"/>
      <c r="N940" s="145"/>
      <c r="O940" s="145"/>
      <c r="P940" s="145"/>
      <c r="Q940" s="145"/>
      <c r="R940" s="145"/>
      <c r="S940" s="145"/>
      <c r="T940" s="145"/>
      <c r="U940" s="145"/>
      <c r="V940" s="145"/>
      <c r="W940" s="145"/>
      <c r="X940" s="145"/>
      <c r="Y940" s="145"/>
      <c r="Z940" s="145"/>
    </row>
    <row r="941" spans="1:26" ht="15.75" x14ac:dyDescent="0.25">
      <c r="A941" s="145"/>
      <c r="B941" s="145"/>
      <c r="C941" s="145"/>
      <c r="D941" s="145"/>
      <c r="E941" s="145"/>
      <c r="F941" s="145"/>
      <c r="G941" s="145"/>
      <c r="H941" s="145"/>
      <c r="I941" s="145"/>
      <c r="J941" s="145"/>
      <c r="K941" s="145"/>
      <c r="L941" s="145"/>
      <c r="M941" s="145"/>
      <c r="N941" s="145"/>
      <c r="O941" s="145"/>
      <c r="P941" s="145"/>
      <c r="Q941" s="145"/>
      <c r="R941" s="145"/>
      <c r="S941" s="145"/>
      <c r="T941" s="145"/>
      <c r="U941" s="145"/>
      <c r="V941" s="145"/>
      <c r="W941" s="145"/>
      <c r="X941" s="145"/>
      <c r="Y941" s="145"/>
      <c r="Z941" s="145"/>
    </row>
    <row r="942" spans="1:26" ht="15.75" x14ac:dyDescent="0.25">
      <c r="A942" s="145"/>
      <c r="B942" s="145"/>
      <c r="C942" s="145"/>
      <c r="D942" s="145"/>
      <c r="E942" s="145"/>
      <c r="F942" s="145"/>
      <c r="G942" s="145"/>
      <c r="H942" s="145"/>
      <c r="I942" s="145"/>
      <c r="J942" s="145"/>
      <c r="K942" s="145"/>
      <c r="L942" s="145"/>
      <c r="M942" s="145"/>
      <c r="N942" s="145"/>
      <c r="O942" s="145"/>
      <c r="P942" s="145"/>
      <c r="Q942" s="145"/>
      <c r="R942" s="145"/>
      <c r="S942" s="145"/>
      <c r="T942" s="145"/>
      <c r="U942" s="145"/>
      <c r="V942" s="145"/>
      <c r="W942" s="145"/>
      <c r="X942" s="145"/>
      <c r="Y942" s="145"/>
      <c r="Z942" s="145"/>
    </row>
    <row r="943" spans="1:26" ht="15.75" x14ac:dyDescent="0.25">
      <c r="A943" s="145"/>
      <c r="B943" s="145"/>
      <c r="C943" s="145"/>
      <c r="D943" s="145"/>
      <c r="E943" s="145"/>
      <c r="F943" s="145"/>
      <c r="G943" s="145"/>
      <c r="H943" s="145"/>
      <c r="I943" s="145"/>
      <c r="J943" s="145"/>
      <c r="K943" s="145"/>
      <c r="L943" s="145"/>
      <c r="M943" s="145"/>
      <c r="N943" s="145"/>
      <c r="O943" s="145"/>
      <c r="P943" s="145"/>
      <c r="Q943" s="145"/>
      <c r="R943" s="145"/>
      <c r="S943" s="145"/>
      <c r="T943" s="145"/>
      <c r="U943" s="145"/>
      <c r="V943" s="145"/>
      <c r="W943" s="145"/>
      <c r="X943" s="145"/>
      <c r="Y943" s="145"/>
      <c r="Z943" s="145"/>
    </row>
    <row r="944" spans="1:26" ht="15.75" x14ac:dyDescent="0.25">
      <c r="A944" s="145"/>
      <c r="B944" s="145"/>
      <c r="C944" s="145"/>
      <c r="D944" s="145"/>
      <c r="E944" s="145"/>
      <c r="F944" s="145"/>
      <c r="G944" s="145"/>
      <c r="H944" s="145"/>
      <c r="I944" s="145"/>
      <c r="J944" s="145"/>
      <c r="K944" s="145"/>
      <c r="L944" s="145"/>
      <c r="M944" s="145"/>
      <c r="N944" s="145"/>
      <c r="O944" s="145"/>
      <c r="P944" s="145"/>
      <c r="Q944" s="145"/>
      <c r="R944" s="145"/>
      <c r="S944" s="145"/>
      <c r="T944" s="145"/>
      <c r="U944" s="145"/>
      <c r="V944" s="145"/>
      <c r="W944" s="145"/>
      <c r="X944" s="145"/>
      <c r="Y944" s="145"/>
      <c r="Z944" s="145"/>
    </row>
    <row r="945" spans="1:26" ht="15.75" x14ac:dyDescent="0.25">
      <c r="A945" s="145"/>
      <c r="B945" s="145"/>
      <c r="C945" s="145"/>
      <c r="D945" s="145"/>
      <c r="E945" s="145"/>
      <c r="F945" s="145"/>
      <c r="G945" s="145"/>
      <c r="H945" s="145"/>
      <c r="I945" s="145"/>
      <c r="J945" s="145"/>
      <c r="K945" s="145"/>
      <c r="L945" s="145"/>
      <c r="M945" s="145"/>
      <c r="N945" s="145"/>
      <c r="O945" s="145"/>
      <c r="P945" s="145"/>
      <c r="Q945" s="145"/>
      <c r="R945" s="145"/>
      <c r="S945" s="145"/>
      <c r="T945" s="145"/>
      <c r="U945" s="145"/>
      <c r="V945" s="145"/>
      <c r="W945" s="145"/>
      <c r="X945" s="145"/>
      <c r="Y945" s="145"/>
      <c r="Z945" s="145"/>
    </row>
    <row r="946" spans="1:26" ht="15.75" x14ac:dyDescent="0.25">
      <c r="A946" s="145"/>
      <c r="B946" s="145"/>
      <c r="C946" s="145"/>
      <c r="D946" s="145"/>
      <c r="E946" s="145"/>
      <c r="F946" s="145"/>
      <c r="G946" s="145"/>
      <c r="H946" s="145"/>
      <c r="I946" s="145"/>
      <c r="J946" s="145"/>
      <c r="K946" s="145"/>
      <c r="L946" s="145"/>
      <c r="M946" s="145"/>
      <c r="N946" s="145"/>
      <c r="O946" s="145"/>
      <c r="P946" s="145"/>
      <c r="Q946" s="145"/>
      <c r="R946" s="145"/>
      <c r="S946" s="145"/>
      <c r="T946" s="145"/>
      <c r="U946" s="145"/>
      <c r="V946" s="145"/>
      <c r="W946" s="145"/>
      <c r="X946" s="145"/>
      <c r="Y946" s="145"/>
      <c r="Z946" s="145"/>
    </row>
    <row r="947" spans="1:26" ht="15.75" x14ac:dyDescent="0.25">
      <c r="A947" s="145"/>
      <c r="B947" s="145"/>
      <c r="C947" s="145"/>
      <c r="D947" s="145"/>
      <c r="E947" s="145"/>
      <c r="F947" s="145"/>
      <c r="G947" s="145"/>
      <c r="H947" s="145"/>
      <c r="I947" s="145"/>
      <c r="J947" s="145"/>
      <c r="K947" s="145"/>
      <c r="L947" s="145"/>
      <c r="M947" s="145"/>
      <c r="N947" s="145"/>
      <c r="O947" s="145"/>
      <c r="P947" s="145"/>
      <c r="Q947" s="145"/>
      <c r="R947" s="145"/>
      <c r="S947" s="145"/>
      <c r="T947" s="145"/>
      <c r="U947" s="145"/>
      <c r="V947" s="145"/>
      <c r="W947" s="145"/>
      <c r="X947" s="145"/>
      <c r="Y947" s="145"/>
      <c r="Z947" s="145"/>
    </row>
    <row r="948" spans="1:26" ht="15.75" x14ac:dyDescent="0.25">
      <c r="A948" s="145"/>
      <c r="B948" s="145"/>
      <c r="C948" s="145"/>
      <c r="D948" s="145"/>
      <c r="E948" s="145"/>
      <c r="F948" s="145"/>
      <c r="G948" s="145"/>
      <c r="H948" s="145"/>
      <c r="I948" s="145"/>
      <c r="J948" s="145"/>
      <c r="K948" s="145"/>
      <c r="L948" s="145"/>
      <c r="M948" s="145"/>
      <c r="N948" s="145"/>
      <c r="O948" s="145"/>
      <c r="P948" s="145"/>
      <c r="Q948" s="145"/>
      <c r="R948" s="145"/>
      <c r="S948" s="145"/>
      <c r="T948" s="145"/>
      <c r="U948" s="145"/>
      <c r="V948" s="145"/>
      <c r="W948" s="145"/>
      <c r="X948" s="145"/>
      <c r="Y948" s="145"/>
      <c r="Z948" s="145"/>
    </row>
    <row r="949" spans="1:26" ht="15.75" x14ac:dyDescent="0.25">
      <c r="A949" s="145"/>
      <c r="B949" s="145"/>
      <c r="C949" s="145"/>
      <c r="D949" s="145"/>
      <c r="E949" s="145"/>
      <c r="F949" s="145"/>
      <c r="G949" s="145"/>
      <c r="H949" s="145"/>
      <c r="I949" s="145"/>
      <c r="J949" s="145"/>
      <c r="K949" s="145"/>
      <c r="L949" s="145"/>
      <c r="M949" s="145"/>
      <c r="N949" s="145"/>
      <c r="O949" s="145"/>
      <c r="P949" s="145"/>
      <c r="Q949" s="145"/>
      <c r="R949" s="145"/>
      <c r="S949" s="145"/>
      <c r="T949" s="145"/>
      <c r="U949" s="145"/>
      <c r="V949" s="145"/>
      <c r="W949" s="145"/>
      <c r="X949" s="145"/>
      <c r="Y949" s="145"/>
      <c r="Z949" s="145"/>
    </row>
    <row r="950" spans="1:26" ht="15.75" x14ac:dyDescent="0.25">
      <c r="A950" s="145"/>
      <c r="B950" s="145"/>
      <c r="C950" s="145"/>
      <c r="D950" s="145"/>
      <c r="E950" s="145"/>
      <c r="F950" s="145"/>
      <c r="G950" s="145"/>
      <c r="H950" s="145"/>
      <c r="I950" s="145"/>
      <c r="J950" s="145"/>
      <c r="K950" s="145"/>
      <c r="L950" s="145"/>
      <c r="M950" s="145"/>
      <c r="N950" s="145"/>
      <c r="O950" s="145"/>
      <c r="P950" s="145"/>
      <c r="Q950" s="145"/>
      <c r="R950" s="145"/>
      <c r="S950" s="145"/>
      <c r="T950" s="145"/>
      <c r="U950" s="145"/>
      <c r="V950" s="145"/>
      <c r="W950" s="145"/>
      <c r="X950" s="145"/>
      <c r="Y950" s="145"/>
      <c r="Z950" s="145"/>
    </row>
    <row r="951" spans="1:26" ht="15.75" x14ac:dyDescent="0.25">
      <c r="A951" s="145"/>
      <c r="B951" s="145"/>
      <c r="C951" s="145"/>
      <c r="D951" s="145"/>
      <c r="E951" s="145"/>
      <c r="F951" s="145"/>
      <c r="G951" s="145"/>
      <c r="H951" s="145"/>
      <c r="I951" s="145"/>
      <c r="J951" s="145"/>
      <c r="K951" s="145"/>
      <c r="L951" s="145"/>
      <c r="M951" s="145"/>
      <c r="N951" s="145"/>
      <c r="O951" s="145"/>
      <c r="P951" s="145"/>
      <c r="Q951" s="145"/>
      <c r="R951" s="145"/>
      <c r="S951" s="145"/>
      <c r="T951" s="145"/>
      <c r="U951" s="145"/>
      <c r="V951" s="145"/>
      <c r="W951" s="145"/>
      <c r="X951" s="145"/>
      <c r="Y951" s="145"/>
      <c r="Z951" s="145"/>
    </row>
    <row r="952" spans="1:26" ht="15.75" x14ac:dyDescent="0.25">
      <c r="A952" s="145"/>
      <c r="B952" s="145"/>
      <c r="C952" s="145"/>
      <c r="D952" s="145"/>
      <c r="E952" s="145"/>
      <c r="F952" s="145"/>
      <c r="G952" s="145"/>
      <c r="H952" s="145"/>
      <c r="I952" s="145"/>
      <c r="J952" s="145"/>
      <c r="K952" s="145"/>
      <c r="L952" s="145"/>
      <c r="M952" s="145"/>
      <c r="N952" s="145"/>
      <c r="O952" s="145"/>
      <c r="P952" s="145"/>
      <c r="Q952" s="145"/>
      <c r="R952" s="145"/>
      <c r="S952" s="145"/>
      <c r="T952" s="145"/>
      <c r="U952" s="145"/>
      <c r="V952" s="145"/>
      <c r="W952" s="145"/>
      <c r="X952" s="145"/>
      <c r="Y952" s="145"/>
      <c r="Z952" s="145"/>
    </row>
    <row r="953" spans="1:26" ht="15.75" x14ac:dyDescent="0.25">
      <c r="A953" s="145"/>
      <c r="B953" s="145"/>
      <c r="C953" s="145"/>
      <c r="D953" s="145"/>
      <c r="E953" s="145"/>
      <c r="F953" s="145"/>
      <c r="G953" s="145"/>
      <c r="H953" s="145"/>
      <c r="I953" s="145"/>
      <c r="J953" s="145"/>
      <c r="K953" s="145"/>
      <c r="L953" s="145"/>
      <c r="M953" s="145"/>
      <c r="N953" s="145"/>
      <c r="O953" s="145"/>
      <c r="P953" s="145"/>
      <c r="Q953" s="145"/>
      <c r="R953" s="145"/>
      <c r="S953" s="145"/>
      <c r="T953" s="145"/>
      <c r="U953" s="145"/>
      <c r="V953" s="145"/>
      <c r="W953" s="145"/>
      <c r="X953" s="145"/>
      <c r="Y953" s="145"/>
      <c r="Z953" s="145"/>
    </row>
    <row r="954" spans="1:26" ht="15.75" x14ac:dyDescent="0.25">
      <c r="A954" s="145"/>
      <c r="B954" s="145"/>
      <c r="C954" s="145"/>
      <c r="D954" s="145"/>
      <c r="E954" s="145"/>
      <c r="F954" s="145"/>
      <c r="G954" s="145"/>
      <c r="H954" s="145"/>
      <c r="I954" s="145"/>
      <c r="J954" s="145"/>
      <c r="K954" s="145"/>
      <c r="L954" s="145"/>
      <c r="M954" s="145"/>
      <c r="N954" s="145"/>
      <c r="O954" s="145"/>
      <c r="P954" s="145"/>
      <c r="Q954" s="145"/>
      <c r="R954" s="145"/>
      <c r="S954" s="145"/>
      <c r="T954" s="145"/>
      <c r="U954" s="145"/>
      <c r="V954" s="145"/>
      <c r="W954" s="145"/>
      <c r="X954" s="145"/>
      <c r="Y954" s="145"/>
      <c r="Z954" s="145"/>
    </row>
    <row r="955" spans="1:26" ht="15.75" x14ac:dyDescent="0.25">
      <c r="A955" s="145"/>
      <c r="B955" s="145"/>
      <c r="C955" s="145"/>
      <c r="D955" s="145"/>
      <c r="E955" s="145"/>
      <c r="F955" s="145"/>
      <c r="G955" s="145"/>
      <c r="H955" s="145"/>
      <c r="I955" s="145"/>
      <c r="J955" s="145"/>
      <c r="K955" s="145"/>
      <c r="L955" s="145"/>
      <c r="M955" s="145"/>
      <c r="N955" s="145"/>
      <c r="O955" s="145"/>
      <c r="P955" s="145"/>
      <c r="Q955" s="145"/>
      <c r="R955" s="145"/>
      <c r="S955" s="145"/>
      <c r="T955" s="145"/>
      <c r="U955" s="145"/>
      <c r="V955" s="145"/>
      <c r="W955" s="145"/>
      <c r="X955" s="145"/>
      <c r="Y955" s="145"/>
      <c r="Z955" s="145"/>
    </row>
    <row r="956" spans="1:26" ht="15.75" x14ac:dyDescent="0.25">
      <c r="A956" s="145"/>
      <c r="B956" s="145"/>
      <c r="C956" s="145"/>
      <c r="D956" s="145"/>
      <c r="E956" s="145"/>
      <c r="F956" s="145"/>
      <c r="G956" s="145"/>
      <c r="H956" s="145"/>
      <c r="I956" s="145"/>
      <c r="J956" s="145"/>
      <c r="K956" s="145"/>
      <c r="L956" s="145"/>
      <c r="M956" s="145"/>
      <c r="N956" s="145"/>
      <c r="O956" s="145"/>
      <c r="P956" s="145"/>
      <c r="Q956" s="145"/>
      <c r="R956" s="145"/>
      <c r="S956" s="145"/>
      <c r="T956" s="145"/>
      <c r="U956" s="145"/>
      <c r="V956" s="145"/>
      <c r="W956" s="145"/>
      <c r="X956" s="145"/>
      <c r="Y956" s="145"/>
      <c r="Z956" s="145"/>
    </row>
    <row r="957" spans="1:26" ht="15.75" x14ac:dyDescent="0.25">
      <c r="A957" s="145"/>
      <c r="B957" s="145"/>
      <c r="C957" s="145"/>
      <c r="D957" s="145"/>
      <c r="E957" s="145"/>
      <c r="F957" s="145"/>
      <c r="G957" s="145"/>
      <c r="H957" s="145"/>
      <c r="I957" s="145"/>
      <c r="J957" s="145"/>
      <c r="K957" s="145"/>
      <c r="L957" s="145"/>
      <c r="M957" s="145"/>
      <c r="N957" s="145"/>
      <c r="O957" s="145"/>
      <c r="P957" s="145"/>
      <c r="Q957" s="145"/>
      <c r="R957" s="145"/>
      <c r="S957" s="145"/>
      <c r="T957" s="145"/>
      <c r="U957" s="145"/>
      <c r="V957" s="145"/>
      <c r="W957" s="145"/>
      <c r="X957" s="145"/>
      <c r="Y957" s="145"/>
      <c r="Z957" s="145"/>
    </row>
    <row r="958" spans="1:26" ht="15.75" x14ac:dyDescent="0.25">
      <c r="A958" s="145"/>
      <c r="B958" s="145"/>
      <c r="C958" s="145"/>
      <c r="D958" s="145"/>
      <c r="E958" s="145"/>
      <c r="F958" s="145"/>
      <c r="G958" s="145"/>
      <c r="H958" s="145"/>
      <c r="I958" s="145"/>
      <c r="J958" s="145"/>
      <c r="K958" s="145"/>
      <c r="L958" s="145"/>
      <c r="M958" s="145"/>
      <c r="N958" s="145"/>
      <c r="O958" s="145"/>
      <c r="P958" s="145"/>
      <c r="Q958" s="145"/>
      <c r="R958" s="145"/>
      <c r="S958" s="145"/>
      <c r="T958" s="145"/>
      <c r="U958" s="145"/>
      <c r="V958" s="145"/>
      <c r="W958" s="145"/>
      <c r="X958" s="145"/>
      <c r="Y958" s="145"/>
      <c r="Z958" s="145"/>
    </row>
    <row r="959" spans="1:26" ht="15.75" x14ac:dyDescent="0.25">
      <c r="A959" s="145"/>
      <c r="B959" s="145"/>
      <c r="C959" s="145"/>
      <c r="D959" s="145"/>
      <c r="E959" s="145"/>
      <c r="F959" s="145"/>
      <c r="G959" s="145"/>
      <c r="H959" s="145"/>
      <c r="I959" s="145"/>
      <c r="J959" s="145"/>
      <c r="K959" s="145"/>
      <c r="L959" s="145"/>
      <c r="M959" s="145"/>
      <c r="N959" s="145"/>
      <c r="O959" s="145"/>
      <c r="P959" s="145"/>
      <c r="Q959" s="145"/>
      <c r="R959" s="145"/>
      <c r="S959" s="145"/>
      <c r="T959" s="145"/>
      <c r="U959" s="145"/>
      <c r="V959" s="145"/>
      <c r="W959" s="145"/>
      <c r="X959" s="145"/>
      <c r="Y959" s="145"/>
      <c r="Z959" s="145"/>
    </row>
    <row r="960" spans="1:26" ht="15.75" x14ac:dyDescent="0.25">
      <c r="A960" s="145"/>
      <c r="B960" s="145"/>
      <c r="C960" s="145"/>
      <c r="D960" s="145"/>
      <c r="E960" s="145"/>
      <c r="F960" s="145"/>
      <c r="G960" s="145"/>
      <c r="H960" s="145"/>
      <c r="I960" s="145"/>
      <c r="J960" s="145"/>
      <c r="K960" s="145"/>
      <c r="L960" s="145"/>
      <c r="M960" s="145"/>
      <c r="N960" s="145"/>
      <c r="O960" s="145"/>
      <c r="P960" s="145"/>
      <c r="Q960" s="145"/>
      <c r="R960" s="145"/>
      <c r="S960" s="145"/>
      <c r="T960" s="145"/>
      <c r="U960" s="145"/>
      <c r="V960" s="145"/>
      <c r="W960" s="145"/>
      <c r="X960" s="145"/>
      <c r="Y960" s="145"/>
      <c r="Z960" s="145"/>
    </row>
    <row r="961" spans="1:26" ht="15.75" x14ac:dyDescent="0.25">
      <c r="A961" s="145"/>
      <c r="B961" s="145"/>
      <c r="C961" s="145"/>
      <c r="D961" s="145"/>
      <c r="E961" s="145"/>
      <c r="F961" s="145"/>
      <c r="G961" s="145"/>
      <c r="H961" s="145"/>
      <c r="I961" s="145"/>
      <c r="J961" s="145"/>
      <c r="K961" s="145"/>
      <c r="L961" s="145"/>
      <c r="M961" s="145"/>
      <c r="N961" s="145"/>
      <c r="O961" s="145"/>
      <c r="P961" s="145"/>
      <c r="Q961" s="145"/>
      <c r="R961" s="145"/>
      <c r="S961" s="145"/>
      <c r="T961" s="145"/>
      <c r="U961" s="145"/>
      <c r="V961" s="145"/>
      <c r="W961" s="145"/>
      <c r="X961" s="145"/>
      <c r="Y961" s="145"/>
      <c r="Z961" s="145"/>
    </row>
    <row r="962" spans="1:26" ht="15.75" x14ac:dyDescent="0.25">
      <c r="A962" s="145"/>
      <c r="B962" s="145"/>
      <c r="C962" s="145"/>
      <c r="D962" s="145"/>
      <c r="E962" s="145"/>
      <c r="F962" s="145"/>
      <c r="G962" s="145"/>
      <c r="H962" s="145"/>
      <c r="I962" s="145"/>
      <c r="J962" s="145"/>
      <c r="K962" s="145"/>
      <c r="L962" s="145"/>
      <c r="M962" s="145"/>
      <c r="N962" s="145"/>
      <c r="O962" s="145"/>
      <c r="P962" s="145"/>
      <c r="Q962" s="145"/>
      <c r="R962" s="145"/>
      <c r="S962" s="145"/>
      <c r="T962" s="145"/>
      <c r="U962" s="145"/>
      <c r="V962" s="145"/>
      <c r="W962" s="145"/>
      <c r="X962" s="145"/>
      <c r="Y962" s="145"/>
      <c r="Z962" s="145"/>
    </row>
    <row r="963" spans="1:26" ht="15.75" x14ac:dyDescent="0.25">
      <c r="A963" s="145"/>
      <c r="B963" s="145"/>
      <c r="C963" s="145"/>
      <c r="D963" s="145"/>
      <c r="E963" s="145"/>
      <c r="F963" s="145"/>
      <c r="G963" s="145"/>
      <c r="H963" s="145"/>
      <c r="I963" s="145"/>
      <c r="J963" s="145"/>
      <c r="K963" s="145"/>
      <c r="L963" s="145"/>
      <c r="M963" s="145"/>
      <c r="N963" s="145"/>
      <c r="O963" s="145"/>
      <c r="P963" s="145"/>
      <c r="Q963" s="145"/>
      <c r="R963" s="145"/>
      <c r="S963" s="145"/>
      <c r="T963" s="145"/>
      <c r="U963" s="145"/>
      <c r="V963" s="145"/>
      <c r="W963" s="145"/>
      <c r="X963" s="145"/>
      <c r="Y963" s="145"/>
      <c r="Z963" s="145"/>
    </row>
    <row r="964" spans="1:26" ht="15.75" x14ac:dyDescent="0.25">
      <c r="A964" s="145"/>
      <c r="B964" s="145"/>
      <c r="C964" s="145"/>
      <c r="D964" s="145"/>
      <c r="E964" s="145"/>
      <c r="F964" s="145"/>
      <c r="G964" s="145"/>
      <c r="H964" s="145"/>
      <c r="I964" s="145"/>
      <c r="J964" s="145"/>
      <c r="K964" s="145"/>
      <c r="L964" s="145"/>
      <c r="M964" s="145"/>
      <c r="N964" s="145"/>
      <c r="O964" s="145"/>
      <c r="P964" s="145"/>
      <c r="Q964" s="145"/>
      <c r="R964" s="145"/>
      <c r="S964" s="145"/>
      <c r="T964" s="145"/>
      <c r="U964" s="145"/>
      <c r="V964" s="145"/>
      <c r="W964" s="145"/>
      <c r="X964" s="145"/>
      <c r="Y964" s="145"/>
      <c r="Z964" s="145"/>
    </row>
    <row r="965" spans="1:26" ht="15.75" x14ac:dyDescent="0.25">
      <c r="A965" s="145"/>
      <c r="B965" s="145"/>
      <c r="C965" s="145"/>
      <c r="D965" s="145"/>
      <c r="E965" s="145"/>
      <c r="F965" s="145"/>
      <c r="G965" s="145"/>
      <c r="H965" s="145"/>
      <c r="I965" s="145"/>
      <c r="J965" s="145"/>
      <c r="K965" s="145"/>
      <c r="L965" s="145"/>
      <c r="M965" s="145"/>
      <c r="N965" s="145"/>
      <c r="O965" s="145"/>
      <c r="P965" s="145"/>
      <c r="Q965" s="145"/>
      <c r="R965" s="145"/>
      <c r="S965" s="145"/>
      <c r="T965" s="145"/>
      <c r="U965" s="145"/>
      <c r="V965" s="145"/>
      <c r="W965" s="145"/>
      <c r="X965" s="145"/>
      <c r="Y965" s="145"/>
      <c r="Z965" s="145"/>
    </row>
    <row r="966" spans="1:26" ht="15.75" x14ac:dyDescent="0.25">
      <c r="A966" s="145"/>
      <c r="B966" s="145"/>
      <c r="C966" s="145"/>
      <c r="D966" s="145"/>
      <c r="E966" s="145"/>
      <c r="F966" s="145"/>
      <c r="G966" s="145"/>
      <c r="H966" s="145"/>
      <c r="I966" s="145"/>
      <c r="J966" s="145"/>
      <c r="K966" s="145"/>
      <c r="L966" s="145"/>
      <c r="M966" s="145"/>
      <c r="N966" s="145"/>
      <c r="O966" s="145"/>
      <c r="P966" s="145"/>
      <c r="Q966" s="145"/>
      <c r="R966" s="145"/>
      <c r="S966" s="145"/>
      <c r="T966" s="145"/>
      <c r="U966" s="145"/>
      <c r="V966" s="145"/>
      <c r="W966" s="145"/>
      <c r="X966" s="145"/>
      <c r="Y966" s="145"/>
      <c r="Z966" s="145"/>
    </row>
    <row r="967" spans="1:26" ht="15.75" x14ac:dyDescent="0.25">
      <c r="A967" s="145"/>
      <c r="B967" s="145"/>
      <c r="C967" s="145"/>
      <c r="D967" s="145"/>
      <c r="E967" s="145"/>
      <c r="F967" s="145"/>
      <c r="G967" s="145"/>
      <c r="H967" s="145"/>
      <c r="I967" s="145"/>
      <c r="J967" s="145"/>
      <c r="K967" s="145"/>
      <c r="L967" s="145"/>
      <c r="M967" s="145"/>
      <c r="N967" s="145"/>
      <c r="O967" s="145"/>
      <c r="P967" s="145"/>
      <c r="Q967" s="145"/>
      <c r="R967" s="145"/>
      <c r="S967" s="145"/>
      <c r="T967" s="145"/>
      <c r="U967" s="145"/>
      <c r="V967" s="145"/>
      <c r="W967" s="145"/>
      <c r="X967" s="145"/>
      <c r="Y967" s="145"/>
      <c r="Z967" s="145"/>
    </row>
    <row r="968" spans="1:26" ht="15.75" x14ac:dyDescent="0.25">
      <c r="A968" s="145"/>
      <c r="B968" s="145"/>
      <c r="C968" s="145"/>
      <c r="D968" s="145"/>
      <c r="E968" s="145"/>
      <c r="F968" s="145"/>
      <c r="G968" s="145"/>
      <c r="H968" s="145"/>
      <c r="I968" s="145"/>
      <c r="J968" s="145"/>
      <c r="K968" s="145"/>
      <c r="L968" s="145"/>
      <c r="M968" s="145"/>
      <c r="N968" s="145"/>
      <c r="O968" s="145"/>
      <c r="P968" s="145"/>
      <c r="Q968" s="145"/>
      <c r="R968" s="145"/>
      <c r="S968" s="145"/>
      <c r="T968" s="145"/>
      <c r="U968" s="145"/>
      <c r="V968" s="145"/>
      <c r="W968" s="145"/>
      <c r="X968" s="145"/>
      <c r="Y968" s="145"/>
      <c r="Z968" s="145"/>
    </row>
    <row r="969" spans="1:26" ht="15.75" x14ac:dyDescent="0.25">
      <c r="A969" s="145"/>
      <c r="B969" s="145"/>
      <c r="C969" s="145"/>
      <c r="D969" s="145"/>
      <c r="E969" s="145"/>
      <c r="F969" s="145"/>
      <c r="G969" s="145"/>
      <c r="H969" s="145"/>
      <c r="I969" s="145"/>
      <c r="J969" s="145"/>
      <c r="K969" s="145"/>
      <c r="L969" s="145"/>
      <c r="M969" s="145"/>
      <c r="N969" s="145"/>
      <c r="O969" s="145"/>
      <c r="P969" s="145"/>
      <c r="Q969" s="145"/>
      <c r="R969" s="145"/>
      <c r="S969" s="145"/>
      <c r="T969" s="145"/>
      <c r="U969" s="145"/>
      <c r="V969" s="145"/>
      <c r="W969" s="145"/>
      <c r="X969" s="145"/>
      <c r="Y969" s="145"/>
      <c r="Z969" s="145"/>
    </row>
    <row r="970" spans="1:26" ht="15.75" x14ac:dyDescent="0.25">
      <c r="A970" s="145"/>
      <c r="B970" s="145"/>
      <c r="C970" s="145"/>
      <c r="D970" s="145"/>
      <c r="E970" s="145"/>
      <c r="F970" s="145"/>
      <c r="G970" s="145"/>
      <c r="H970" s="145"/>
      <c r="I970" s="145"/>
      <c r="J970" s="145"/>
      <c r="K970" s="145"/>
      <c r="L970" s="145"/>
      <c r="M970" s="145"/>
      <c r="N970" s="145"/>
      <c r="O970" s="145"/>
      <c r="P970" s="145"/>
      <c r="Q970" s="145"/>
      <c r="R970" s="145"/>
      <c r="S970" s="145"/>
      <c r="T970" s="145"/>
      <c r="U970" s="145"/>
      <c r="V970" s="145"/>
      <c r="W970" s="145"/>
      <c r="X970" s="145"/>
      <c r="Y970" s="145"/>
      <c r="Z970" s="145"/>
    </row>
    <row r="971" spans="1:26" ht="15.75" x14ac:dyDescent="0.25">
      <c r="A971" s="145"/>
      <c r="B971" s="145"/>
      <c r="C971" s="145"/>
      <c r="D971" s="145"/>
      <c r="E971" s="145"/>
      <c r="F971" s="145"/>
      <c r="G971" s="145"/>
      <c r="H971" s="145"/>
      <c r="I971" s="145"/>
      <c r="J971" s="145"/>
      <c r="K971" s="145"/>
      <c r="L971" s="145"/>
      <c r="M971" s="145"/>
      <c r="N971" s="145"/>
      <c r="O971" s="145"/>
      <c r="P971" s="145"/>
      <c r="Q971" s="145"/>
      <c r="R971" s="145"/>
      <c r="S971" s="145"/>
      <c r="T971" s="145"/>
      <c r="U971" s="145"/>
      <c r="V971" s="145"/>
      <c r="W971" s="145"/>
      <c r="X971" s="145"/>
      <c r="Y971" s="145"/>
      <c r="Z971" s="145"/>
    </row>
    <row r="972" spans="1:26" ht="15.75" x14ac:dyDescent="0.25">
      <c r="A972" s="145"/>
      <c r="B972" s="145"/>
      <c r="C972" s="145"/>
      <c r="D972" s="145"/>
      <c r="E972" s="145"/>
      <c r="F972" s="145"/>
      <c r="G972" s="145"/>
      <c r="H972" s="145"/>
      <c r="I972" s="145"/>
      <c r="J972" s="145"/>
      <c r="K972" s="145"/>
      <c r="L972" s="145"/>
      <c r="M972" s="145"/>
      <c r="N972" s="145"/>
      <c r="O972" s="145"/>
      <c r="P972" s="145"/>
      <c r="Q972" s="145"/>
      <c r="R972" s="145"/>
      <c r="S972" s="145"/>
      <c r="T972" s="145"/>
      <c r="U972" s="145"/>
      <c r="V972" s="145"/>
      <c r="W972" s="145"/>
      <c r="X972" s="145"/>
      <c r="Y972" s="145"/>
      <c r="Z972" s="145"/>
    </row>
    <row r="973" spans="1:26" ht="15.75" x14ac:dyDescent="0.25">
      <c r="A973" s="145"/>
      <c r="B973" s="145"/>
      <c r="C973" s="145"/>
      <c r="D973" s="145"/>
      <c r="E973" s="145"/>
      <c r="F973" s="145"/>
      <c r="G973" s="145"/>
      <c r="H973" s="145"/>
      <c r="I973" s="145"/>
      <c r="J973" s="145"/>
      <c r="K973" s="145"/>
      <c r="L973" s="145"/>
      <c r="M973" s="145"/>
      <c r="N973" s="145"/>
      <c r="O973" s="145"/>
      <c r="P973" s="145"/>
      <c r="Q973" s="145"/>
      <c r="R973" s="145"/>
      <c r="S973" s="145"/>
      <c r="T973" s="145"/>
      <c r="U973" s="145"/>
      <c r="V973" s="145"/>
      <c r="W973" s="145"/>
      <c r="X973" s="145"/>
      <c r="Y973" s="145"/>
      <c r="Z973" s="145"/>
    </row>
    <row r="974" spans="1:26" ht="15.75" x14ac:dyDescent="0.25">
      <c r="A974" s="145"/>
      <c r="B974" s="145"/>
      <c r="C974" s="145"/>
      <c r="D974" s="145"/>
      <c r="E974" s="145"/>
      <c r="F974" s="145"/>
      <c r="G974" s="145"/>
      <c r="H974" s="145"/>
      <c r="I974" s="145"/>
      <c r="J974" s="145"/>
      <c r="K974" s="145"/>
      <c r="L974" s="145"/>
      <c r="M974" s="145"/>
      <c r="N974" s="145"/>
      <c r="O974" s="145"/>
      <c r="P974" s="145"/>
      <c r="Q974" s="145"/>
      <c r="R974" s="145"/>
      <c r="S974" s="145"/>
      <c r="T974" s="145"/>
      <c r="U974" s="145"/>
      <c r="V974" s="145"/>
      <c r="W974" s="145"/>
      <c r="X974" s="145"/>
      <c r="Y974" s="145"/>
      <c r="Z974" s="145"/>
    </row>
    <row r="975" spans="1:26" ht="15.75" x14ac:dyDescent="0.25">
      <c r="A975" s="145"/>
      <c r="B975" s="145"/>
      <c r="C975" s="145"/>
      <c r="D975" s="145"/>
      <c r="E975" s="145"/>
      <c r="F975" s="145"/>
      <c r="G975" s="145"/>
      <c r="H975" s="145"/>
      <c r="I975" s="145"/>
      <c r="J975" s="145"/>
      <c r="K975" s="145"/>
      <c r="L975" s="145"/>
      <c r="M975" s="145"/>
      <c r="N975" s="145"/>
      <c r="O975" s="145"/>
      <c r="P975" s="145"/>
      <c r="Q975" s="145"/>
      <c r="R975" s="145"/>
      <c r="S975" s="145"/>
      <c r="T975" s="145"/>
      <c r="U975" s="145"/>
      <c r="V975" s="145"/>
      <c r="W975" s="145"/>
      <c r="X975" s="145"/>
      <c r="Y975" s="145"/>
      <c r="Z975" s="145"/>
    </row>
    <row r="976" spans="1:26" ht="15.75" x14ac:dyDescent="0.25">
      <c r="A976" s="145"/>
      <c r="B976" s="145"/>
      <c r="C976" s="145"/>
      <c r="D976" s="145"/>
      <c r="E976" s="145"/>
      <c r="F976" s="145"/>
      <c r="G976" s="145"/>
      <c r="H976" s="145"/>
      <c r="I976" s="145"/>
      <c r="J976" s="145"/>
      <c r="K976" s="145"/>
      <c r="L976" s="145"/>
      <c r="M976" s="145"/>
      <c r="N976" s="145"/>
      <c r="O976" s="145"/>
      <c r="P976" s="145"/>
      <c r="Q976" s="145"/>
      <c r="R976" s="145"/>
      <c r="S976" s="145"/>
      <c r="T976" s="145"/>
      <c r="U976" s="145"/>
      <c r="V976" s="145"/>
      <c r="W976" s="145"/>
      <c r="X976" s="145"/>
      <c r="Y976" s="145"/>
      <c r="Z976" s="145"/>
    </row>
    <row r="977" spans="1:26" ht="15.75" x14ac:dyDescent="0.25">
      <c r="A977" s="145"/>
      <c r="B977" s="145"/>
      <c r="C977" s="145"/>
      <c r="D977" s="145"/>
      <c r="E977" s="145"/>
      <c r="F977" s="145"/>
      <c r="G977" s="145"/>
      <c r="H977" s="145"/>
      <c r="I977" s="145"/>
      <c r="J977" s="145"/>
      <c r="K977" s="145"/>
      <c r="L977" s="145"/>
      <c r="M977" s="145"/>
      <c r="N977" s="145"/>
      <c r="O977" s="145"/>
      <c r="P977" s="145"/>
      <c r="Q977" s="145"/>
      <c r="R977" s="145"/>
      <c r="S977" s="145"/>
      <c r="T977" s="145"/>
      <c r="U977" s="145"/>
      <c r="V977" s="145"/>
      <c r="W977" s="145"/>
      <c r="X977" s="145"/>
      <c r="Y977" s="145"/>
      <c r="Z977" s="145"/>
    </row>
    <row r="978" spans="1:26" ht="15.75" x14ac:dyDescent="0.25">
      <c r="A978" s="145"/>
      <c r="B978" s="145"/>
      <c r="C978" s="145"/>
      <c r="D978" s="145"/>
      <c r="E978" s="145"/>
      <c r="F978" s="145"/>
      <c r="G978" s="145"/>
      <c r="H978" s="145"/>
      <c r="I978" s="145"/>
      <c r="J978" s="145"/>
      <c r="K978" s="145"/>
      <c r="L978" s="145"/>
      <c r="M978" s="145"/>
      <c r="N978" s="145"/>
      <c r="O978" s="145"/>
      <c r="P978" s="145"/>
      <c r="Q978" s="145"/>
      <c r="R978" s="145"/>
      <c r="S978" s="145"/>
      <c r="T978" s="145"/>
      <c r="U978" s="145"/>
      <c r="V978" s="145"/>
      <c r="W978" s="145"/>
      <c r="X978" s="145"/>
      <c r="Y978" s="145"/>
      <c r="Z978" s="145"/>
    </row>
    <row r="979" spans="1:26" ht="15.75" x14ac:dyDescent="0.25">
      <c r="A979" s="145"/>
      <c r="B979" s="145"/>
      <c r="C979" s="145"/>
      <c r="D979" s="145"/>
      <c r="E979" s="145"/>
      <c r="F979" s="145"/>
      <c r="G979" s="145"/>
      <c r="H979" s="145"/>
      <c r="I979" s="145"/>
      <c r="J979" s="145"/>
      <c r="K979" s="145"/>
      <c r="L979" s="145"/>
      <c r="M979" s="145"/>
      <c r="N979" s="145"/>
      <c r="O979" s="145"/>
      <c r="P979" s="145"/>
      <c r="Q979" s="145"/>
      <c r="R979" s="145"/>
      <c r="S979" s="145"/>
      <c r="T979" s="145"/>
      <c r="U979" s="145"/>
      <c r="V979" s="145"/>
      <c r="W979" s="145"/>
      <c r="X979" s="145"/>
      <c r="Y979" s="145"/>
      <c r="Z979" s="145"/>
    </row>
    <row r="980" spans="1:26" ht="15.75" x14ac:dyDescent="0.25">
      <c r="A980" s="145"/>
      <c r="B980" s="145"/>
      <c r="C980" s="145"/>
      <c r="D980" s="145"/>
      <c r="E980" s="145"/>
      <c r="F980" s="145"/>
      <c r="G980" s="145"/>
      <c r="H980" s="145"/>
      <c r="I980" s="145"/>
      <c r="J980" s="145"/>
      <c r="K980" s="145"/>
      <c r="L980" s="145"/>
      <c r="M980" s="145"/>
      <c r="N980" s="145"/>
      <c r="O980" s="145"/>
      <c r="P980" s="145"/>
      <c r="Q980" s="145"/>
      <c r="R980" s="145"/>
      <c r="S980" s="145"/>
      <c r="T980" s="145"/>
      <c r="U980" s="145"/>
      <c r="V980" s="145"/>
      <c r="W980" s="145"/>
      <c r="X980" s="145"/>
      <c r="Y980" s="145"/>
      <c r="Z980" s="145"/>
    </row>
    <row r="981" spans="1:26" ht="15.75" x14ac:dyDescent="0.25">
      <c r="A981" s="145"/>
      <c r="B981" s="145"/>
      <c r="C981" s="145"/>
      <c r="D981" s="145"/>
      <c r="E981" s="145"/>
      <c r="F981" s="145"/>
      <c r="G981" s="145"/>
      <c r="H981" s="145"/>
      <c r="I981" s="145"/>
      <c r="J981" s="145"/>
      <c r="K981" s="145"/>
      <c r="L981" s="145"/>
      <c r="M981" s="145"/>
      <c r="N981" s="145"/>
      <c r="O981" s="145"/>
      <c r="P981" s="145"/>
      <c r="Q981" s="145"/>
      <c r="R981" s="145"/>
      <c r="S981" s="145"/>
      <c r="T981" s="145"/>
      <c r="U981" s="145"/>
      <c r="V981" s="145"/>
      <c r="W981" s="145"/>
      <c r="X981" s="145"/>
      <c r="Y981" s="145"/>
      <c r="Z981" s="145"/>
    </row>
    <row r="982" spans="1:26" ht="15.75" x14ac:dyDescent="0.25">
      <c r="A982" s="145"/>
      <c r="B982" s="145"/>
      <c r="C982" s="145"/>
      <c r="D982" s="145"/>
      <c r="E982" s="145"/>
      <c r="F982" s="145"/>
      <c r="G982" s="145"/>
      <c r="H982" s="145"/>
      <c r="I982" s="145"/>
      <c r="J982" s="145"/>
      <c r="K982" s="145"/>
      <c r="L982" s="145"/>
      <c r="M982" s="145"/>
      <c r="N982" s="145"/>
      <c r="O982" s="145"/>
      <c r="P982" s="145"/>
      <c r="Q982" s="145"/>
      <c r="R982" s="145"/>
      <c r="S982" s="145"/>
      <c r="T982" s="145"/>
      <c r="U982" s="145"/>
      <c r="V982" s="145"/>
      <c r="W982" s="145"/>
      <c r="X982" s="145"/>
      <c r="Y982" s="145"/>
      <c r="Z982" s="145"/>
    </row>
    <row r="983" spans="1:26" ht="15.75" x14ac:dyDescent="0.25">
      <c r="A983" s="145"/>
      <c r="B983" s="145"/>
      <c r="C983" s="145"/>
      <c r="D983" s="145"/>
      <c r="E983" s="145"/>
      <c r="F983" s="145"/>
      <c r="G983" s="145"/>
      <c r="H983" s="145"/>
      <c r="I983" s="145"/>
      <c r="J983" s="145"/>
      <c r="K983" s="145"/>
      <c r="L983" s="145"/>
      <c r="M983" s="145"/>
      <c r="N983" s="145"/>
      <c r="O983" s="145"/>
      <c r="P983" s="145"/>
      <c r="Q983" s="145"/>
      <c r="R983" s="145"/>
      <c r="S983" s="145"/>
      <c r="T983" s="145"/>
      <c r="U983" s="145"/>
      <c r="V983" s="145"/>
      <c r="W983" s="145"/>
      <c r="X983" s="145"/>
      <c r="Y983" s="145"/>
      <c r="Z983" s="145"/>
    </row>
    <row r="984" spans="1:26" ht="15.75" x14ac:dyDescent="0.25">
      <c r="A984" s="145"/>
      <c r="B984" s="145"/>
      <c r="C984" s="145"/>
      <c r="D984" s="145"/>
      <c r="E984" s="145"/>
      <c r="F984" s="145"/>
      <c r="G984" s="145"/>
      <c r="H984" s="145"/>
      <c r="I984" s="145"/>
      <c r="J984" s="145"/>
      <c r="K984" s="145"/>
      <c r="L984" s="145"/>
      <c r="M984" s="145"/>
      <c r="N984" s="145"/>
      <c r="O984" s="145"/>
      <c r="P984" s="145"/>
      <c r="Q984" s="145"/>
      <c r="R984" s="145"/>
      <c r="S984" s="145"/>
      <c r="T984" s="145"/>
      <c r="U984" s="145"/>
      <c r="V984" s="145"/>
      <c r="W984" s="145"/>
      <c r="X984" s="145"/>
      <c r="Y984" s="145"/>
      <c r="Z984" s="145"/>
    </row>
    <row r="985" spans="1:26" ht="15.75" x14ac:dyDescent="0.25">
      <c r="A985" s="145"/>
      <c r="B985" s="145"/>
      <c r="C985" s="145"/>
      <c r="D985" s="145"/>
      <c r="E985" s="145"/>
      <c r="F985" s="145"/>
      <c r="G985" s="145"/>
      <c r="H985" s="145"/>
      <c r="I985" s="145"/>
      <c r="J985" s="145"/>
      <c r="K985" s="145"/>
      <c r="L985" s="145"/>
      <c r="M985" s="145"/>
      <c r="N985" s="145"/>
      <c r="O985" s="145"/>
      <c r="P985" s="145"/>
      <c r="Q985" s="145"/>
      <c r="R985" s="145"/>
      <c r="S985" s="145"/>
      <c r="T985" s="145"/>
      <c r="U985" s="145"/>
      <c r="V985" s="145"/>
      <c r="W985" s="145"/>
      <c r="X985" s="145"/>
      <c r="Y985" s="145"/>
      <c r="Z985" s="145"/>
    </row>
    <row r="986" spans="1:26" ht="15.75" x14ac:dyDescent="0.25">
      <c r="A986" s="145"/>
      <c r="B986" s="145"/>
      <c r="C986" s="145"/>
      <c r="D986" s="145"/>
      <c r="E986" s="145"/>
      <c r="F986" s="145"/>
      <c r="G986" s="145"/>
      <c r="H986" s="145"/>
      <c r="I986" s="145"/>
      <c r="J986" s="145"/>
      <c r="K986" s="145"/>
      <c r="L986" s="145"/>
      <c r="M986" s="145"/>
      <c r="N986" s="145"/>
      <c r="O986" s="145"/>
      <c r="P986" s="145"/>
      <c r="Q986" s="145"/>
      <c r="R986" s="145"/>
      <c r="S986" s="145"/>
      <c r="T986" s="145"/>
      <c r="U986" s="145"/>
      <c r="V986" s="145"/>
      <c r="W986" s="145"/>
      <c r="X986" s="145"/>
      <c r="Y986" s="145"/>
      <c r="Z986" s="145"/>
    </row>
    <row r="987" spans="1:26" ht="15.75" x14ac:dyDescent="0.25">
      <c r="A987" s="145"/>
      <c r="B987" s="145"/>
      <c r="C987" s="145"/>
      <c r="D987" s="145"/>
      <c r="E987" s="145"/>
      <c r="F987" s="145"/>
      <c r="G987" s="145"/>
      <c r="H987" s="145"/>
      <c r="I987" s="145"/>
      <c r="J987" s="145"/>
      <c r="K987" s="145"/>
      <c r="L987" s="145"/>
      <c r="M987" s="145"/>
      <c r="N987" s="145"/>
      <c r="O987" s="145"/>
      <c r="P987" s="145"/>
      <c r="Q987" s="145"/>
      <c r="R987" s="145"/>
      <c r="S987" s="145"/>
      <c r="T987" s="145"/>
      <c r="U987" s="145"/>
      <c r="V987" s="145"/>
      <c r="W987" s="145"/>
      <c r="X987" s="145"/>
      <c r="Y987" s="145"/>
      <c r="Z987" s="145"/>
    </row>
    <row r="988" spans="1:26" ht="15.75" x14ac:dyDescent="0.25">
      <c r="A988" s="145"/>
      <c r="B988" s="145"/>
      <c r="C988" s="145"/>
      <c r="D988" s="145"/>
      <c r="E988" s="145"/>
      <c r="F988" s="145"/>
      <c r="G988" s="145"/>
      <c r="H988" s="145"/>
      <c r="I988" s="145"/>
      <c r="J988" s="145"/>
      <c r="K988" s="145"/>
      <c r="L988" s="145"/>
      <c r="M988" s="145"/>
      <c r="N988" s="145"/>
      <c r="O988" s="145"/>
      <c r="P988" s="145"/>
      <c r="Q988" s="145"/>
      <c r="R988" s="145"/>
      <c r="S988" s="145"/>
      <c r="T988" s="145"/>
      <c r="U988" s="145"/>
      <c r="V988" s="145"/>
      <c r="W988" s="145"/>
      <c r="X988" s="145"/>
      <c r="Y988" s="145"/>
      <c r="Z988" s="145"/>
    </row>
    <row r="989" spans="1:26" ht="15.75" x14ac:dyDescent="0.25">
      <c r="A989" s="145"/>
      <c r="B989" s="145"/>
      <c r="C989" s="145"/>
      <c r="D989" s="145"/>
      <c r="E989" s="145"/>
      <c r="F989" s="145"/>
      <c r="G989" s="145"/>
      <c r="H989" s="145"/>
      <c r="I989" s="145"/>
      <c r="J989" s="145"/>
      <c r="K989" s="145"/>
      <c r="L989" s="145"/>
      <c r="M989" s="145"/>
      <c r="N989" s="145"/>
      <c r="O989" s="145"/>
      <c r="P989" s="145"/>
      <c r="Q989" s="145"/>
      <c r="R989" s="145"/>
      <c r="S989" s="145"/>
      <c r="T989" s="145"/>
      <c r="U989" s="145"/>
      <c r="V989" s="145"/>
      <c r="W989" s="145"/>
      <c r="X989" s="145"/>
      <c r="Y989" s="145"/>
      <c r="Z989" s="145"/>
    </row>
    <row r="990" spans="1:26" ht="15.75" x14ac:dyDescent="0.25">
      <c r="A990" s="145"/>
      <c r="B990" s="145"/>
      <c r="C990" s="145"/>
      <c r="D990" s="145"/>
      <c r="E990" s="145"/>
      <c r="F990" s="145"/>
      <c r="G990" s="145"/>
      <c r="H990" s="145"/>
      <c r="I990" s="145"/>
      <c r="J990" s="145"/>
      <c r="K990" s="145"/>
      <c r="L990" s="145"/>
      <c r="M990" s="145"/>
      <c r="N990" s="145"/>
      <c r="O990" s="145"/>
      <c r="P990" s="145"/>
      <c r="Q990" s="145"/>
      <c r="R990" s="145"/>
      <c r="S990" s="145"/>
      <c r="T990" s="145"/>
      <c r="U990" s="145"/>
      <c r="V990" s="145"/>
      <c r="W990" s="145"/>
      <c r="X990" s="145"/>
      <c r="Y990" s="145"/>
      <c r="Z990" s="145"/>
    </row>
    <row r="991" spans="1:26" ht="15.75" x14ac:dyDescent="0.25">
      <c r="A991" s="145"/>
      <c r="B991" s="145"/>
      <c r="C991" s="145"/>
      <c r="D991" s="145"/>
      <c r="E991" s="145"/>
      <c r="F991" s="145"/>
      <c r="G991" s="145"/>
      <c r="H991" s="145"/>
      <c r="I991" s="145"/>
      <c r="J991" s="145"/>
      <c r="K991" s="145"/>
      <c r="L991" s="145"/>
      <c r="M991" s="145"/>
      <c r="N991" s="145"/>
      <c r="O991" s="145"/>
      <c r="P991" s="145"/>
      <c r="Q991" s="145"/>
      <c r="R991" s="145"/>
      <c r="S991" s="145"/>
      <c r="T991" s="145"/>
      <c r="U991" s="145"/>
      <c r="V991" s="145"/>
      <c r="W991" s="145"/>
      <c r="X991" s="145"/>
      <c r="Y991" s="145"/>
      <c r="Z991" s="145"/>
    </row>
    <row r="992" spans="1:26" ht="15.75" x14ac:dyDescent="0.25">
      <c r="A992" s="145"/>
      <c r="B992" s="145"/>
      <c r="C992" s="145"/>
      <c r="D992" s="145"/>
      <c r="E992" s="145"/>
      <c r="F992" s="145"/>
      <c r="G992" s="145"/>
      <c r="H992" s="145"/>
      <c r="I992" s="145"/>
      <c r="J992" s="145"/>
      <c r="K992" s="145"/>
      <c r="L992" s="145"/>
      <c r="M992" s="145"/>
      <c r="N992" s="145"/>
      <c r="O992" s="145"/>
      <c r="P992" s="145"/>
      <c r="Q992" s="145"/>
      <c r="R992" s="145"/>
      <c r="S992" s="145"/>
      <c r="T992" s="145"/>
      <c r="U992" s="145"/>
      <c r="V992" s="145"/>
      <c r="W992" s="145"/>
      <c r="X992" s="145"/>
      <c r="Y992" s="145"/>
      <c r="Z992" s="145"/>
    </row>
    <row r="993" spans="1:26" ht="15.75" x14ac:dyDescent="0.25">
      <c r="A993" s="145"/>
      <c r="B993" s="145"/>
      <c r="C993" s="145"/>
      <c r="D993" s="145"/>
      <c r="E993" s="145"/>
      <c r="F993" s="145"/>
      <c r="G993" s="145"/>
      <c r="H993" s="145"/>
      <c r="I993" s="145"/>
      <c r="J993" s="145"/>
      <c r="K993" s="145"/>
      <c r="L993" s="145"/>
      <c r="M993" s="145"/>
      <c r="N993" s="145"/>
      <c r="O993" s="145"/>
      <c r="P993" s="145"/>
      <c r="Q993" s="145"/>
      <c r="R993" s="145"/>
      <c r="S993" s="145"/>
      <c r="T993" s="145"/>
      <c r="U993" s="145"/>
      <c r="V993" s="145"/>
      <c r="W993" s="145"/>
      <c r="X993" s="145"/>
      <c r="Y993" s="145"/>
      <c r="Z993" s="145"/>
    </row>
    <row r="994" spans="1:26" ht="15.75" x14ac:dyDescent="0.25">
      <c r="A994" s="145"/>
      <c r="B994" s="145"/>
      <c r="C994" s="145"/>
      <c r="D994" s="145"/>
      <c r="E994" s="145"/>
      <c r="F994" s="145"/>
      <c r="G994" s="145"/>
      <c r="H994" s="145"/>
      <c r="I994" s="145"/>
      <c r="J994" s="145"/>
      <c r="K994" s="145"/>
      <c r="L994" s="145"/>
      <c r="M994" s="145"/>
      <c r="N994" s="145"/>
      <c r="O994" s="145"/>
      <c r="P994" s="145"/>
      <c r="Q994" s="145"/>
      <c r="R994" s="145"/>
      <c r="S994" s="145"/>
      <c r="T994" s="145"/>
      <c r="U994" s="145"/>
      <c r="V994" s="145"/>
      <c r="W994" s="145"/>
      <c r="X994" s="145"/>
      <c r="Y994" s="145"/>
      <c r="Z994" s="145"/>
    </row>
    <row r="995" spans="1:26" ht="15.75" x14ac:dyDescent="0.25">
      <c r="A995" s="145"/>
      <c r="B995" s="145"/>
      <c r="C995" s="145"/>
      <c r="D995" s="145"/>
      <c r="E995" s="145"/>
      <c r="F995" s="145"/>
      <c r="G995" s="145"/>
      <c r="H995" s="145"/>
      <c r="I995" s="145"/>
      <c r="J995" s="145"/>
      <c r="K995" s="145"/>
      <c r="L995" s="145"/>
      <c r="M995" s="145"/>
      <c r="N995" s="145"/>
      <c r="O995" s="145"/>
      <c r="P995" s="145"/>
      <c r="Q995" s="145"/>
      <c r="R995" s="145"/>
      <c r="S995" s="145"/>
      <c r="T995" s="145"/>
      <c r="U995" s="145"/>
      <c r="V995" s="145"/>
      <c r="W995" s="145"/>
      <c r="X995" s="145"/>
      <c r="Y995" s="145"/>
      <c r="Z995" s="145"/>
    </row>
    <row r="996" spans="1:26" ht="15.75" x14ac:dyDescent="0.25">
      <c r="A996" s="145"/>
      <c r="B996" s="145"/>
      <c r="C996" s="145"/>
      <c r="D996" s="145"/>
      <c r="E996" s="145"/>
      <c r="F996" s="145"/>
      <c r="G996" s="145"/>
      <c r="H996" s="145"/>
      <c r="I996" s="145"/>
      <c r="J996" s="145"/>
      <c r="K996" s="145"/>
      <c r="L996" s="145"/>
      <c r="M996" s="145"/>
      <c r="N996" s="145"/>
      <c r="O996" s="145"/>
      <c r="P996" s="145"/>
      <c r="Q996" s="145"/>
      <c r="R996" s="145"/>
      <c r="S996" s="145"/>
      <c r="T996" s="145"/>
      <c r="U996" s="145"/>
      <c r="V996" s="145"/>
      <c r="W996" s="145"/>
      <c r="X996" s="145"/>
      <c r="Y996" s="145"/>
      <c r="Z996" s="145"/>
    </row>
    <row r="997" spans="1:26" ht="15.75" x14ac:dyDescent="0.25">
      <c r="A997" s="145"/>
      <c r="B997" s="145"/>
      <c r="C997" s="145"/>
      <c r="D997" s="145"/>
      <c r="E997" s="145"/>
      <c r="F997" s="145"/>
      <c r="G997" s="145"/>
      <c r="H997" s="145"/>
      <c r="I997" s="145"/>
      <c r="J997" s="145"/>
      <c r="K997" s="145"/>
      <c r="L997" s="145"/>
      <c r="M997" s="145"/>
      <c r="N997" s="145"/>
      <c r="O997" s="145"/>
      <c r="P997" s="145"/>
      <c r="Q997" s="145"/>
      <c r="R997" s="145"/>
      <c r="S997" s="145"/>
      <c r="T997" s="145"/>
      <c r="U997" s="145"/>
      <c r="V997" s="145"/>
      <c r="W997" s="145"/>
      <c r="X997" s="145"/>
      <c r="Y997" s="145"/>
      <c r="Z997" s="145"/>
    </row>
    <row r="998" spans="1:26" ht="15.75" x14ac:dyDescent="0.25">
      <c r="A998" s="145"/>
      <c r="B998" s="145"/>
      <c r="C998" s="145"/>
      <c r="D998" s="145"/>
      <c r="E998" s="145"/>
      <c r="F998" s="145"/>
      <c r="G998" s="145"/>
      <c r="H998" s="145"/>
      <c r="I998" s="145"/>
      <c r="J998" s="145"/>
      <c r="K998" s="145"/>
      <c r="L998" s="145"/>
      <c r="M998" s="145"/>
      <c r="N998" s="145"/>
      <c r="O998" s="145"/>
      <c r="P998" s="145"/>
      <c r="Q998" s="145"/>
      <c r="R998" s="145"/>
      <c r="S998" s="145"/>
      <c r="T998" s="145"/>
      <c r="U998" s="145"/>
      <c r="V998" s="145"/>
      <c r="W998" s="145"/>
      <c r="X998" s="145"/>
      <c r="Y998" s="145"/>
      <c r="Z998" s="145"/>
    </row>
    <row r="999" spans="1:26" ht="15.75" x14ac:dyDescent="0.25">
      <c r="A999" s="145"/>
      <c r="B999" s="145"/>
      <c r="C999" s="145"/>
      <c r="D999" s="145"/>
      <c r="E999" s="145"/>
      <c r="F999" s="145"/>
      <c r="G999" s="145"/>
      <c r="H999" s="145"/>
      <c r="I999" s="145"/>
      <c r="J999" s="145"/>
      <c r="K999" s="145"/>
      <c r="L999" s="145"/>
      <c r="M999" s="145"/>
      <c r="N999" s="145"/>
      <c r="O999" s="145"/>
      <c r="P999" s="145"/>
      <c r="Q999" s="145"/>
      <c r="R999" s="145"/>
      <c r="S999" s="145"/>
      <c r="T999" s="145"/>
      <c r="U999" s="145"/>
      <c r="V999" s="145"/>
      <c r="W999" s="145"/>
      <c r="X999" s="145"/>
      <c r="Y999" s="145"/>
      <c r="Z999" s="145"/>
    </row>
    <row r="1000" spans="1:26" ht="15.75" x14ac:dyDescent="0.25">
      <c r="A1000" s="145"/>
      <c r="B1000" s="145"/>
      <c r="C1000" s="145"/>
      <c r="D1000" s="145"/>
      <c r="E1000" s="145"/>
      <c r="F1000" s="145"/>
      <c r="G1000" s="145"/>
      <c r="H1000" s="145"/>
      <c r="I1000" s="145"/>
      <c r="J1000" s="145"/>
      <c r="K1000" s="145"/>
      <c r="L1000" s="145"/>
      <c r="M1000" s="145"/>
      <c r="N1000" s="145"/>
      <c r="O1000" s="145"/>
      <c r="P1000" s="145"/>
      <c r="Q1000" s="145"/>
      <c r="R1000" s="145"/>
      <c r="S1000" s="145"/>
      <c r="T1000" s="145"/>
      <c r="U1000" s="145"/>
      <c r="V1000" s="145"/>
      <c r="W1000" s="145"/>
      <c r="X1000" s="145"/>
      <c r="Y1000" s="145"/>
      <c r="Z1000" s="145"/>
    </row>
    <row r="1001" spans="1:26" ht="15.75" x14ac:dyDescent="0.25">
      <c r="A1001" s="145"/>
      <c r="B1001" s="145"/>
      <c r="C1001" s="145"/>
      <c r="D1001" s="145"/>
      <c r="E1001" s="145"/>
      <c r="F1001" s="145"/>
      <c r="G1001" s="145"/>
      <c r="H1001" s="145"/>
      <c r="I1001" s="145"/>
      <c r="J1001" s="145"/>
      <c r="K1001" s="145"/>
      <c r="L1001" s="145"/>
      <c r="M1001" s="145"/>
      <c r="N1001" s="145"/>
      <c r="O1001" s="145"/>
      <c r="P1001" s="145"/>
      <c r="Q1001" s="145"/>
      <c r="R1001" s="145"/>
      <c r="S1001" s="145"/>
      <c r="T1001" s="145"/>
      <c r="U1001" s="145"/>
      <c r="V1001" s="145"/>
      <c r="W1001" s="145"/>
      <c r="X1001" s="145"/>
      <c r="Y1001" s="145"/>
      <c r="Z1001" s="145"/>
    </row>
    <row r="1002" spans="1:26" ht="15.75" x14ac:dyDescent="0.25">
      <c r="A1002" s="145"/>
      <c r="B1002" s="145"/>
      <c r="C1002" s="145"/>
      <c r="D1002" s="145"/>
      <c r="E1002" s="145"/>
      <c r="F1002" s="145"/>
      <c r="G1002" s="145"/>
      <c r="H1002" s="145"/>
      <c r="I1002" s="145"/>
      <c r="J1002" s="145"/>
      <c r="K1002" s="145"/>
      <c r="L1002" s="145"/>
      <c r="M1002" s="145"/>
      <c r="N1002" s="145"/>
      <c r="O1002" s="145"/>
      <c r="P1002" s="145"/>
      <c r="Q1002" s="145"/>
      <c r="R1002" s="145"/>
      <c r="S1002" s="145"/>
      <c r="T1002" s="145"/>
      <c r="U1002" s="145"/>
      <c r="V1002" s="145"/>
      <c r="W1002" s="145"/>
      <c r="X1002" s="145"/>
      <c r="Y1002" s="145"/>
      <c r="Z1002" s="145"/>
    </row>
    <row r="1003" spans="1:26" ht="15.75" x14ac:dyDescent="0.25">
      <c r="A1003" s="145"/>
      <c r="B1003" s="145"/>
      <c r="C1003" s="145"/>
      <c r="D1003" s="145"/>
      <c r="E1003" s="145"/>
      <c r="F1003" s="145"/>
      <c r="G1003" s="145"/>
      <c r="H1003" s="145"/>
      <c r="I1003" s="145"/>
      <c r="J1003" s="145"/>
      <c r="K1003" s="145"/>
      <c r="L1003" s="145"/>
      <c r="M1003" s="145"/>
      <c r="N1003" s="145"/>
      <c r="O1003" s="145"/>
      <c r="P1003" s="145"/>
      <c r="Q1003" s="145"/>
      <c r="R1003" s="145"/>
      <c r="S1003" s="145"/>
      <c r="T1003" s="145"/>
      <c r="U1003" s="145"/>
      <c r="V1003" s="145"/>
      <c r="W1003" s="145"/>
      <c r="X1003" s="145"/>
      <c r="Y1003" s="145"/>
      <c r="Z1003" s="145"/>
    </row>
    <row r="1004" spans="1:26" ht="15.75" x14ac:dyDescent="0.25">
      <c r="A1004" s="145"/>
      <c r="B1004" s="145"/>
      <c r="C1004" s="145"/>
      <c r="D1004" s="145"/>
      <c r="E1004" s="145"/>
      <c r="F1004" s="145"/>
      <c r="G1004" s="145"/>
      <c r="H1004" s="145"/>
      <c r="I1004" s="145"/>
      <c r="J1004" s="145"/>
      <c r="K1004" s="145"/>
      <c r="L1004" s="145"/>
      <c r="M1004" s="145"/>
      <c r="N1004" s="145"/>
      <c r="O1004" s="145"/>
      <c r="P1004" s="145"/>
      <c r="Q1004" s="145"/>
      <c r="R1004" s="145"/>
      <c r="S1004" s="145"/>
      <c r="T1004" s="145"/>
      <c r="U1004" s="145"/>
      <c r="V1004" s="145"/>
      <c r="W1004" s="145"/>
      <c r="X1004" s="145"/>
      <c r="Y1004" s="145"/>
      <c r="Z1004" s="145"/>
    </row>
    <row r="1005" spans="1:26" ht="15.75" x14ac:dyDescent="0.25">
      <c r="A1005" s="145"/>
      <c r="B1005" s="145"/>
      <c r="C1005" s="145"/>
      <c r="D1005" s="145"/>
      <c r="E1005" s="145"/>
      <c r="F1005" s="145"/>
      <c r="G1005" s="145"/>
      <c r="H1005" s="145"/>
      <c r="I1005" s="145"/>
      <c r="J1005" s="145"/>
      <c r="K1005" s="145"/>
      <c r="L1005" s="145"/>
      <c r="M1005" s="145"/>
      <c r="N1005" s="145"/>
      <c r="O1005" s="145"/>
      <c r="P1005" s="145"/>
      <c r="Q1005" s="145"/>
      <c r="R1005" s="145"/>
      <c r="S1005" s="145"/>
      <c r="T1005" s="145"/>
      <c r="U1005" s="145"/>
      <c r="V1005" s="145"/>
      <c r="W1005" s="145"/>
      <c r="X1005" s="145"/>
      <c r="Y1005" s="145"/>
      <c r="Z1005" s="145"/>
    </row>
    <row r="1006" spans="1:26" ht="15.75" x14ac:dyDescent="0.25">
      <c r="A1006" s="145"/>
      <c r="B1006" s="145"/>
      <c r="C1006" s="145"/>
      <c r="D1006" s="145"/>
      <c r="E1006" s="145"/>
      <c r="F1006" s="145"/>
      <c r="G1006" s="145"/>
      <c r="H1006" s="145"/>
      <c r="I1006" s="145"/>
      <c r="J1006" s="145"/>
      <c r="K1006" s="145"/>
      <c r="L1006" s="145"/>
      <c r="M1006" s="145"/>
      <c r="N1006" s="145"/>
      <c r="O1006" s="145"/>
      <c r="P1006" s="145"/>
      <c r="Q1006" s="145"/>
      <c r="R1006" s="145"/>
      <c r="S1006" s="145"/>
      <c r="T1006" s="145"/>
      <c r="U1006" s="145"/>
      <c r="V1006" s="145"/>
      <c r="W1006" s="145"/>
      <c r="X1006" s="145"/>
      <c r="Y1006" s="145"/>
      <c r="Z1006" s="145"/>
    </row>
    <row r="1007" spans="1:26" ht="15.75" x14ac:dyDescent="0.25">
      <c r="A1007" s="145"/>
      <c r="B1007" s="145"/>
      <c r="C1007" s="145"/>
      <c r="D1007" s="145"/>
      <c r="E1007" s="145"/>
      <c r="F1007" s="145"/>
      <c r="G1007" s="145"/>
      <c r="H1007" s="145"/>
      <c r="I1007" s="145"/>
      <c r="J1007" s="145"/>
      <c r="K1007" s="145"/>
      <c r="L1007" s="145"/>
      <c r="M1007" s="145"/>
      <c r="N1007" s="145"/>
      <c r="O1007" s="145"/>
      <c r="P1007" s="145"/>
      <c r="Q1007" s="145"/>
      <c r="R1007" s="145"/>
      <c r="S1007" s="145"/>
      <c r="T1007" s="145"/>
      <c r="U1007" s="145"/>
      <c r="V1007" s="145"/>
      <c r="W1007" s="145"/>
      <c r="X1007" s="145"/>
      <c r="Y1007" s="145"/>
      <c r="Z1007" s="145"/>
    </row>
    <row r="1008" spans="1:26" ht="15.75" x14ac:dyDescent="0.25">
      <c r="A1008" s="145"/>
      <c r="B1008" s="145"/>
      <c r="C1008" s="145"/>
      <c r="D1008" s="145"/>
      <c r="E1008" s="145"/>
      <c r="F1008" s="145"/>
      <c r="G1008" s="145"/>
      <c r="H1008" s="145"/>
      <c r="I1008" s="145"/>
      <c r="J1008" s="145"/>
      <c r="K1008" s="145"/>
      <c r="L1008" s="145"/>
      <c r="M1008" s="145"/>
      <c r="N1008" s="145"/>
      <c r="O1008" s="145"/>
      <c r="P1008" s="145"/>
      <c r="Q1008" s="145"/>
      <c r="R1008" s="145"/>
      <c r="S1008" s="145"/>
      <c r="T1008" s="145"/>
      <c r="U1008" s="145"/>
      <c r="V1008" s="145"/>
      <c r="W1008" s="145"/>
      <c r="X1008" s="145"/>
      <c r="Y1008" s="145"/>
      <c r="Z1008" s="145"/>
    </row>
    <row r="1009" spans="1:26" ht="15.75" x14ac:dyDescent="0.25">
      <c r="A1009" s="145"/>
      <c r="B1009" s="145"/>
      <c r="C1009" s="145"/>
      <c r="D1009" s="145"/>
      <c r="E1009" s="145"/>
      <c r="F1009" s="145"/>
      <c r="G1009" s="145"/>
      <c r="H1009" s="145"/>
      <c r="I1009" s="145"/>
      <c r="J1009" s="145"/>
      <c r="K1009" s="145"/>
      <c r="L1009" s="145"/>
      <c r="M1009" s="145"/>
      <c r="N1009" s="145"/>
      <c r="O1009" s="145"/>
      <c r="P1009" s="145"/>
      <c r="Q1009" s="145"/>
      <c r="R1009" s="145"/>
      <c r="S1009" s="145"/>
      <c r="T1009" s="145"/>
      <c r="U1009" s="145"/>
      <c r="V1009" s="145"/>
      <c r="W1009" s="145"/>
      <c r="X1009" s="145"/>
      <c r="Y1009" s="145"/>
      <c r="Z1009" s="145"/>
    </row>
  </sheetData>
  <mergeCells count="49">
    <mergeCell ref="A117:C117"/>
    <mergeCell ref="A83:D83"/>
    <mergeCell ref="A87:C87"/>
    <mergeCell ref="A88:C88"/>
    <mergeCell ref="A89:C89"/>
    <mergeCell ref="A90:C90"/>
    <mergeCell ref="A91:C91"/>
    <mergeCell ref="A95:C95"/>
    <mergeCell ref="A96:C96"/>
    <mergeCell ref="A97:C97"/>
    <mergeCell ref="A98:C98"/>
    <mergeCell ref="A116:C116"/>
    <mergeCell ref="L42:N42"/>
    <mergeCell ref="P42:R42"/>
    <mergeCell ref="A78:D78"/>
    <mergeCell ref="A79:D79"/>
    <mergeCell ref="A80:D80"/>
    <mergeCell ref="A82:D82"/>
    <mergeCell ref="A35:E35"/>
    <mergeCell ref="A36:E36"/>
    <mergeCell ref="A37:E37"/>
    <mergeCell ref="A38:E38"/>
    <mergeCell ref="A42:B42"/>
    <mergeCell ref="C42:D42"/>
    <mergeCell ref="E42:K42"/>
    <mergeCell ref="A34:E34"/>
    <mergeCell ref="A21:E21"/>
    <mergeCell ref="A22:E22"/>
    <mergeCell ref="A23:E23"/>
    <mergeCell ref="A24:E24"/>
    <mergeCell ref="A27:E27"/>
    <mergeCell ref="A28:E28"/>
    <mergeCell ref="A29:E29"/>
    <mergeCell ref="A30:E30"/>
    <mergeCell ref="A31:E31"/>
    <mergeCell ref="A32:E32"/>
    <mergeCell ref="A33:E33"/>
    <mergeCell ref="A20:E20"/>
    <mergeCell ref="A4:H4"/>
    <mergeCell ref="A9:H9"/>
    <mergeCell ref="A10:E10"/>
    <mergeCell ref="A11:E11"/>
    <mergeCell ref="A12:E12"/>
    <mergeCell ref="A13:E13"/>
    <mergeCell ref="A14:E14"/>
    <mergeCell ref="A15:E15"/>
    <mergeCell ref="A16:E16"/>
    <mergeCell ref="A18:E18"/>
    <mergeCell ref="A19:E19"/>
  </mergeCells>
  <hyperlinks>
    <hyperlink ref="I89" r:id="rId1" xr:uid="{523F85E6-0A2A-4202-AE7F-910E5B754384}"/>
    <hyperlink ref="I87" r:id="rId2" location="fi_id7000000778" display="https://co2data.fi/rakentaminen/ - fi_id7000000778" xr:uid="{9A73DA6C-48EF-4905-9EE8-5CA23736CB4D}"/>
    <hyperlink ref="I88" r:id="rId3" location="fi_id7000000763" display="https://co2data.fi/rakentaminen/ - fi_id7000000763" xr:uid="{E0ED5C19-82AF-465B-B9FD-F8946BE259C8}"/>
    <hyperlink ref="I91" r:id="rId4" xr:uid="{023B4EDD-8692-4233-89FC-158E1DE4169E}"/>
  </hyperlinks>
  <pageMargins left="0.7" right="0.7" top="0.75" bottom="0.75" header="0.3" footer="0.3"/>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6</vt:i4>
      </vt:variant>
    </vt:vector>
  </HeadingPairs>
  <TitlesOfParts>
    <vt:vector size="6" baseType="lpstr">
      <vt:lpstr>Kansilehti</vt:lpstr>
      <vt:lpstr>Kohteen järjes. kannattavuus</vt:lpstr>
      <vt:lpstr>IVLP 20v kannattavuus</vt:lpstr>
      <vt:lpstr>MLP 25v kannattavuus</vt:lpstr>
      <vt:lpstr>PV 30v kannattavuus 3</vt:lpstr>
      <vt:lpstr>PV 30v kannattavuus 5</vt:lpstr>
    </vt:vector>
  </TitlesOfParts>
  <Company>Suomen ymp?rist?keskus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Rummukainen Miika</dc:creator>
  <cp:lastModifiedBy>Komokallio Roosa</cp:lastModifiedBy>
  <dcterms:created xsi:type="dcterms:W3CDTF">2020-04-22T10:23:42Z</dcterms:created>
  <dcterms:modified xsi:type="dcterms:W3CDTF">2024-11-06T13:23:14Z</dcterms:modified>
</cp:coreProperties>
</file>